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valerielapierre/Desktop/"/>
    </mc:Choice>
  </mc:AlternateContent>
  <xr:revisionPtr revIDLastSave="0" documentId="8_{5D3F251A-0486-684B-B8C8-9578CDD1D00A}" xr6:coauthVersionLast="47" xr6:coauthVersionMax="47" xr10:uidLastSave="{00000000-0000-0000-0000-000000000000}"/>
  <workbookProtection workbookAlgorithmName="SHA-512" workbookHashValue="UWmLAAzNONMd44pTnz/WQZssFp1XQwQ/QketwOy/03ILRT+uA50b65DJJOrNNpZlzic+bT+yVBkY2pgQlGDsuw==" workbookSaltValue="tTgcXqXA8UnkPg9kKK9zIg==" workbookSpinCount="100000" lockStructure="1"/>
  <bookViews>
    <workbookView xWindow="0" yWindow="500" windowWidth="28800" windowHeight="15800" xr2:uid="{AD0F6C6E-6353-44FB-9BBE-B1267737B83C}"/>
  </bookViews>
  <sheets>
    <sheet name="Calcul env. achat-construction" sheetId="1" r:id="rId1"/>
    <sheet name="Calcul env. agrandissement" sheetId="8" r:id="rId2"/>
    <sheet name="Calcul env. locatif" sheetId="10" r:id="rId3"/>
    <sheet name="Calculs mobilier" sheetId="7" state="hidden" r:id="rId4"/>
    <sheet name="Annexe II" sheetId="2" state="hidden" r:id="rId5"/>
    <sheet name="Superficie" sheetId="5" state="hidden" r:id="rId6"/>
    <sheet name="Annexe III" sheetId="3" state="hidden" r:id="rId7"/>
    <sheet name="Annexe IV" sheetId="4" state="hidden" r:id="rId8"/>
    <sheet name="Menu déroulant" sheetId="6" state="hidden" r:id="rId9"/>
  </sheets>
  <definedNames>
    <definedName name="_xlnm._FilterDatabase" localSheetId="7" hidden="1">'Annexe IV'!$A$3:$B$3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0" l="1"/>
  <c r="C35" i="8"/>
  <c r="C45" i="10" l="1"/>
  <c r="C44" i="10"/>
  <c r="C43" i="10"/>
  <c r="B14" i="10"/>
  <c r="B11" i="10" s="1"/>
  <c r="B17" i="10" s="1" a="1"/>
  <c r="B17" i="10" s="1"/>
  <c r="C34" i="10" s="1"/>
  <c r="C50" i="10" a="1"/>
  <c r="C50" i="10" s="1"/>
  <c r="C59" i="10" l="1"/>
  <c r="C58" i="10"/>
  <c r="C61" i="10"/>
  <c r="C60" i="10"/>
  <c r="B10" i="10"/>
  <c r="B15" i="10" s="1" a="1"/>
  <c r="B15" i="10" s="1"/>
  <c r="C33" i="10" s="1"/>
  <c r="B12" i="10"/>
  <c r="C53" i="10"/>
  <c r="C55" i="10" s="1"/>
  <c r="B16" i="10" l="1" a="1"/>
  <c r="B16" i="10" s="1"/>
  <c r="C35" i="10"/>
  <c r="C64" i="10" s="1"/>
  <c r="C20" i="10" s="1" a="1"/>
  <c r="C20" i="10" s="1"/>
  <c r="C63" i="10"/>
  <c r="B13" i="10"/>
  <c r="C37" i="10" l="1"/>
  <c r="C39" i="10" s="1"/>
  <c r="C28" i="10" a="1"/>
  <c r="C28" i="10" s="1"/>
  <c r="C21" i="10" a="1"/>
  <c r="C21" i="10" s="1"/>
  <c r="C27" i="10" s="1"/>
  <c r="C29" i="10" l="1"/>
  <c r="C43" i="8" l="1"/>
  <c r="C46" i="8"/>
  <c r="C49" i="8"/>
  <c r="C40" i="8"/>
  <c r="C39" i="8"/>
  <c r="C27" i="8"/>
  <c r="C28" i="8"/>
  <c r="B12" i="8"/>
  <c r="B8" i="8"/>
  <c r="B6" i="8"/>
  <c r="C58" i="8" l="1"/>
  <c r="C54" i="8"/>
  <c r="C53" i="8"/>
  <c r="C55" i="8"/>
  <c r="C52" i="8"/>
  <c r="C48" i="8"/>
  <c r="C42" i="8"/>
  <c r="C30" i="8"/>
  <c r="C32" i="8" s="1"/>
  <c r="C15" i="8" s="1"/>
  <c r="B9" i="8"/>
  <c r="C57" i="8" l="1"/>
  <c r="B31" i="7"/>
  <c r="D31" i="7" s="1"/>
  <c r="D32" i="7" s="1"/>
  <c r="B28" i="7"/>
  <c r="D28" i="7" s="1"/>
  <c r="D29" i="7" s="1"/>
  <c r="D21" i="7"/>
  <c r="D22" i="7" s="1"/>
  <c r="C41" i="1" s="1"/>
  <c r="D25" i="7"/>
  <c r="D24" i="7"/>
  <c r="D26" i="7" s="1"/>
  <c r="C42" i="1" s="1"/>
  <c r="D18" i="7"/>
  <c r="D17" i="7"/>
  <c r="D16" i="7"/>
  <c r="D15" i="7"/>
  <c r="D14" i="7"/>
  <c r="D12" i="7"/>
  <c r="D11" i="7"/>
  <c r="D7" i="7"/>
  <c r="B6" i="7"/>
  <c r="D6" i="7" s="1"/>
  <c r="B5" i="7"/>
  <c r="D5" i="7" s="1"/>
  <c r="B4" i="7"/>
  <c r="D4" i="7" s="1"/>
  <c r="B3" i="7"/>
  <c r="D3" i="7" s="1"/>
  <c r="B6" i="1"/>
  <c r="B10" i="1"/>
  <c r="C31" i="1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4" i="5"/>
  <c r="B9" i="1" l="1"/>
  <c r="B11" i="1"/>
  <c r="C32" i="1" s="1"/>
  <c r="C29" i="1"/>
  <c r="C43" i="1"/>
  <c r="C46" i="10"/>
  <c r="C58" i="1"/>
  <c r="C57" i="1"/>
  <c r="C56" i="1"/>
  <c r="C55" i="1"/>
  <c r="C44" i="1"/>
  <c r="C47" i="10"/>
  <c r="C16" i="8"/>
  <c r="B7" i="8"/>
  <c r="B10" i="8" s="1"/>
  <c r="D19" i="7"/>
  <c r="D8" i="7"/>
  <c r="B12" i="1" l="1"/>
  <c r="C61" i="1"/>
  <c r="C18" i="1" s="1" a="1"/>
  <c r="C18" i="1" s="1"/>
  <c r="C39" i="1"/>
  <c r="C42" i="10"/>
  <c r="C49" i="10" s="1"/>
  <c r="C66" i="10" s="1"/>
  <c r="C22" i="8"/>
  <c r="C24" i="8" s="1"/>
  <c r="C60" i="8" s="1"/>
  <c r="C60" i="1"/>
  <c r="C34" i="1"/>
  <c r="C36" i="1" s="1"/>
  <c r="C50" i="1"/>
  <c r="C52" i="1" s="1"/>
  <c r="C47" i="1" a="1"/>
  <c r="C47" i="1" s="1"/>
  <c r="C17" i="1" l="1" a="1"/>
  <c r="C17" i="1" s="1"/>
  <c r="C25" i="1" a="1"/>
  <c r="C25" i="1" s="1"/>
  <c r="B14" i="1"/>
  <c r="C24" i="1" l="1"/>
  <c r="C26" i="1" s="1"/>
  <c r="C40" i="1" l="1"/>
  <c r="C46" i="1" s="1"/>
  <c r="C6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Magali Crevier</author>
  </authors>
  <commentList>
    <comment ref="B9" authorId="0" shapeId="0" xr:uid="{FEF42E79-CE3F-400E-90D8-B41C96538811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Annexe II</t>
        </r>
      </text>
    </comment>
    <comment ref="B10" authorId="0" shapeId="0" xr:uid="{35266C12-5CC7-48AC-965E-B93C4D3C2954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4670$ par poupon</t>
        </r>
      </text>
    </comment>
    <comment ref="B11" authorId="0" shapeId="0" xr:uid="{E4866AA5-6E67-4840-9D7E-2012EA8728F6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1 Le montant de la salle multifonctionnelle est de 1 945 $ par mètre carré, jusqu’à concurrence du montant indiqué à l’annexe III. Pour être admissible au financement, elle doit avoir une superficie d'au moins 27,9 mètres carrés. 
Salle multifonctionnelle selon l'annexe III, mettre 0 si aucune1</t>
        </r>
      </text>
    </comment>
    <comment ref="B14" authorId="0" shapeId="0" xr:uid="{D9A6A3F8-3FF7-4CB0-8511-E4D6559E9699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Indice régional de modulation selon l'Annexe IV</t>
        </r>
      </text>
    </comment>
    <comment ref="C34" authorId="0" shapeId="0" xr:uid="{69289004-DAAC-4F50-9FF4-E1ACF97CDA5C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À partir coût permis construction ville Montréal 
Coûts de construction/1000*9,80$</t>
        </r>
      </text>
    </comment>
    <comment ref="A39" authorId="0" shapeId="0" xr:uid="{E16E4488-D6DB-4355-A306-9C00659339F7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Lit poupon 500$ ch
Chaises hautes 250$ ch
Tables 300$ ch
Chaises 100$ ch
Table personnel et chaises 1500$ /1 par salle perso</t>
        </r>
      </text>
    </comment>
    <comment ref="C47" authorId="0" shapeId="0" xr:uid="{007865D3-9EC2-4CB1-92D6-23A474833775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Moins de 40 places (15 675$); 
Plus de 40 places (31 351$) + 522 $ / enfant + 522 $ / poupons</t>
        </r>
      </text>
    </comment>
    <comment ref="C61" authorId="0" shapeId="0" xr:uid="{3F2F2748-E86F-4C53-B994-C9E84E9BDD7A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7% de l'enveloppe Achat-Construction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Magali Crevier</author>
  </authors>
  <commentList>
    <comment ref="B7" authorId="0" shapeId="0" xr:uid="{8B03E51F-6910-4968-97B6-2579793F9074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Annexe II</t>
        </r>
      </text>
    </comment>
    <comment ref="B8" authorId="0" shapeId="0" xr:uid="{26E2A11C-C845-4145-BD25-6E70F7B96B5C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4670$ par poupon</t>
        </r>
      </text>
    </comment>
    <comment ref="B9" authorId="0" shapeId="0" xr:uid="{09553E90-E26D-439A-84EE-997B2331F294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1 Le montant de la salle multifonctionnelle est de 1 945 $ par mètre carré, jusqu’à concurrence du montant indiqué à l’annexe III. Pour être admissible au financement, elle doit avoir une superficie d'au moins 27,9 mètres carrés. 
Salle multifonctionnelle selon l'annexe III, mettre 0 si aucune1</t>
        </r>
      </text>
    </comment>
    <comment ref="B12" authorId="0" shapeId="0" xr:uid="{94831CF9-ED95-48B7-BEB1-D9825DF4BFA5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Indice régional de modulation selon l'Annexe IV</t>
        </r>
      </text>
    </comment>
    <comment ref="C30" authorId="0" shapeId="0" xr:uid="{1AAFD04B-A6B0-426F-A5C7-E9A4FCD1C0D4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À partir coût permis construction ville Montréal 
Coûts de construction/1000*9,80$</t>
        </r>
      </text>
    </comment>
    <comment ref="A35" authorId="0" shapeId="0" xr:uid="{4BCF602A-C6C1-43D0-B63E-19E0FCA98D4F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Lit poupon 500$ ch
Chaises hautes 250$ ch
Tables 300$ ch
Chaises 100$ ch
Table personnel et chaises 1500$ /1 par salle perso</t>
        </r>
      </text>
    </comment>
    <comment ref="C43" authorId="0" shapeId="0" xr:uid="{9665D729-753D-4EC1-AFC7-0316D79C540B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Moins de 40 places (15 675$); 
Plus de 40 places (31 351$) + 522 $ / enfant + 522 $ / poupons</t>
        </r>
      </text>
    </comment>
    <comment ref="C49" authorId="0" shapeId="0" xr:uid="{06413B58-5D74-4031-8D49-1DD81C679B90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7% de l'enveloppe Achat-Construction</t>
        </r>
      </text>
    </comment>
    <comment ref="C58" authorId="0" shapeId="0" xr:uid="{DB4F2AE8-35C4-4171-B98A-E7E35C756617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7% de l'enveloppe Achat-Construction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Magali Crevier</author>
  </authors>
  <commentList>
    <comment ref="B10" authorId="0" shapeId="0" xr:uid="{EFD84715-5D22-4D1F-AE51-D4E4B3CEE255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Annexe II</t>
        </r>
      </text>
    </comment>
    <comment ref="B11" authorId="0" shapeId="0" xr:uid="{158BA11A-C33E-409F-A6BC-877D55BD6342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4670$ par poupon</t>
        </r>
      </text>
    </comment>
    <comment ref="B12" authorId="0" shapeId="0" xr:uid="{0EDAC1CC-9385-45AF-AEC4-9EEF047026CA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1 Le montant de la salle multifonctionnelle est de 1 945 $ par mètre carré, jusqu’à concurrence du montant indiqué à l’annexe III. Pour être admissible au financement, elle doit avoir une superficie d'au moins 27,9 mètres carrés. 
Salle multifonctionnelle selon l'annexe III, mettre 0 si aucune1</t>
        </r>
      </text>
    </comment>
    <comment ref="B14" authorId="0" shapeId="0" xr:uid="{ADF00FCB-815B-4F60-BBEE-DA8BF632240E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Indice régional de modulation selon l'Annexe IV</t>
        </r>
      </text>
    </comment>
    <comment ref="C37" authorId="0" shapeId="0" xr:uid="{BFA8C9BE-EFD5-4607-9B76-FE599313E8CE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À partir coût permis construction ville Montréal 
Coûts de construction/1000*9,80$</t>
        </r>
      </text>
    </comment>
    <comment ref="A42" authorId="0" shapeId="0" xr:uid="{B4C92DA4-0977-4E15-BA77-BE6980CF062F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Lit poupon 500$ ch
Chaises hautes 250$ ch
Tables 300$ ch
Chaises 100$ ch
Table personnel et chaises 1500$ /1 par salle perso</t>
        </r>
      </text>
    </comment>
    <comment ref="C50" authorId="0" shapeId="0" xr:uid="{BB4ACB27-52AF-4643-92B9-AA9FBBF7F7B0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Moins de 40 places (15 675$); 
Plus de 40 places (31 351$) + 522 $ / enfant + 522 $ / poupons</t>
        </r>
      </text>
    </comment>
    <comment ref="C64" authorId="0" shapeId="0" xr:uid="{DBE25075-2E63-47AE-AA15-583B4BD28A6F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7% de l'enveloppe Achat-Construction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Magali Crevier</author>
  </authors>
  <commentList>
    <comment ref="A10" authorId="0" shapeId="0" xr:uid="{B3BC7213-4A0F-4732-8253-0A3C97BC3228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résidentiel</t>
        </r>
      </text>
    </comment>
    <comment ref="A13" authorId="0" shapeId="0" xr:uid="{74AAC1EC-D618-4ABE-AB55-BDE3CEC5B2EE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En commercial</t>
        </r>
      </text>
    </comment>
    <comment ref="A14" authorId="0" shapeId="0" xr:uid="{8A22E2B7-7B62-42C2-8E15-355DC8C3CDEB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Attention budget d'une hotte résidentiel et non commerciale. Une hotte commerciale ira dans les enveloppes exceptionnelle</t>
        </r>
      </text>
    </comment>
    <comment ref="B28" authorId="0" shapeId="0" xr:uid="{9B8B1CB4-17F1-481A-A51D-A6374193DE8B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Budget matériel éducatif par groupe</t>
        </r>
      </text>
    </comment>
    <comment ref="B31" authorId="0" shapeId="0" xr:uid="{D13A7661-7D87-4900-8484-32D325FE299C}">
      <text>
        <r>
          <rPr>
            <b/>
            <sz val="9"/>
            <color indexed="81"/>
            <rFont val="Tahoma"/>
            <family val="2"/>
          </rPr>
          <t>Magali Crevier:</t>
        </r>
        <r>
          <rPr>
            <sz val="9"/>
            <color indexed="81"/>
            <rFont val="Tahoma"/>
            <family val="2"/>
          </rPr>
          <t xml:space="preserve">
Nombre de jouets par groupe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<sst xmlns="http://schemas.openxmlformats.org/spreadsheetml/2006/main" count="265" uniqueCount="130">
  <si>
    <t>Annexe IV</t>
  </si>
  <si>
    <t>Bas-Saint-Laurent</t>
  </si>
  <si>
    <t>Abitibi-Témiscamingue</t>
  </si>
  <si>
    <t>Capitale-Nationale</t>
  </si>
  <si>
    <t>Centre-du-Québec</t>
  </si>
  <si>
    <t>Chaudière-Appalaches</t>
  </si>
  <si>
    <t>Estrie</t>
  </si>
  <si>
    <t>Lanaudière</t>
  </si>
  <si>
    <t>Laval</t>
  </si>
  <si>
    <t>Montérégie</t>
  </si>
  <si>
    <t>Montréal</t>
  </si>
  <si>
    <t>Outaouais</t>
  </si>
  <si>
    <t>Saguenay–Lac-Saint-Jean</t>
  </si>
  <si>
    <t>Annexe III</t>
  </si>
  <si>
    <t>Annexe II</t>
  </si>
  <si>
    <t>Montants de référence maximaux – Installation</t>
  </si>
  <si>
    <t>NOMBRE DE PLACES SUBVENTIONNÉES</t>
  </si>
  <si>
    <t xml:space="preserve">MONTANT MAXIMAL ACHAT-CONSTRUCTION </t>
  </si>
  <si>
    <t>Montants de référence maximaux – Salle multifonctionnelle</t>
  </si>
  <si>
    <t>NOMBRE DE PLACES SUBVENTIONNEES</t>
  </si>
  <si>
    <t>MONTANT MAXIMAL POUR UNE SALLE MULTIFONCTIONNELLE</t>
  </si>
  <si>
    <t>Indices régionaux de modulation</t>
  </si>
  <si>
    <t>Nombre de places totales</t>
  </si>
  <si>
    <t>Montant de base</t>
  </si>
  <si>
    <t>Montant poupon</t>
  </si>
  <si>
    <t>Région</t>
  </si>
  <si>
    <t xml:space="preserve">Côte-Nord - Rivière Moisie à Pointe-Parent et Fermont </t>
  </si>
  <si>
    <t>Côte-Nord - Est de Pointe-Parent et Schefferville</t>
  </si>
  <si>
    <t xml:space="preserve">Côte-Nord - Rivière Saguenay à rivière Moisie </t>
  </si>
  <si>
    <t>Mauricie - Sauf la région de La Tuque</t>
  </si>
  <si>
    <t>Mauricie - Région de La Tuque</t>
  </si>
  <si>
    <t>Nord-du-Québec - Sauf les régions de Chibougamau et du Nunavik</t>
  </si>
  <si>
    <t>Nord-du-Québec - Région de Chibougamau</t>
  </si>
  <si>
    <t>Nord-du-Québec - Région du Nunavik</t>
  </si>
  <si>
    <t xml:space="preserve">Gaspésie </t>
  </si>
  <si>
    <t>Gaspésie - Îles-de-la-Madeleine</t>
  </si>
  <si>
    <t>Laurentides - Sauf la MRC d’Antoine-Labelle</t>
  </si>
  <si>
    <t>Laurentides - MRC d’Antoine-Labelle</t>
  </si>
  <si>
    <t xml:space="preserve"> INDICE</t>
  </si>
  <si>
    <t>Région administrative</t>
  </si>
  <si>
    <t>Enveloppe chargé projet</t>
  </si>
  <si>
    <t xml:space="preserve">Sous-total avant indice régional de modulation </t>
  </si>
  <si>
    <t>Indice régional de modulation</t>
  </si>
  <si>
    <t>Insérer dans l'espace en vert votre nombre de places totales, votre nombre de places poupons ainsi que votre région et le calcul se fera automatiquement.</t>
  </si>
  <si>
    <t>Salle multifonctionnelle</t>
  </si>
  <si>
    <t>Nombre de places en installation    (0-59 mois)</t>
  </si>
  <si>
    <r>
      <t>Superficie pieds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</si>
  <si>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Superficies Salle Multi pieds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</si>
  <si>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Superficie pieds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0-18 mois</t>
    </r>
  </si>
  <si>
    <t>Estimation superficie</t>
  </si>
  <si>
    <t>oui</t>
  </si>
  <si>
    <t>non</t>
  </si>
  <si>
    <t>Architecte</t>
  </si>
  <si>
    <t>Ingénieur</t>
  </si>
  <si>
    <t>Budget d'implantation</t>
  </si>
  <si>
    <t>Arpenteur</t>
  </si>
  <si>
    <t>Architecte paysagiste</t>
  </si>
  <si>
    <t>Comptable</t>
  </si>
  <si>
    <t>Notaire, avocat</t>
  </si>
  <si>
    <t>Autres</t>
  </si>
  <si>
    <t>Sous-total: Honoraires professionnels</t>
  </si>
  <si>
    <t>Total: Honoraires professionnels</t>
  </si>
  <si>
    <t>Location</t>
  </si>
  <si>
    <t>Achat ou construction</t>
  </si>
  <si>
    <t>Coût d'achat de construction, de réaménagement ou d'agrandissement le cas échéant</t>
  </si>
  <si>
    <t>Coût du bail (incluant le moment entre la signature du bail et l'ouverture effective du service de garde)</t>
  </si>
  <si>
    <t>Coût d'acquisition du terrain (le cas échéant)</t>
  </si>
  <si>
    <t>Amélioration locative</t>
  </si>
  <si>
    <t>Coût supplémentaire pour enfant 0-17 mois le cas échéant</t>
  </si>
  <si>
    <t>Salle multifonctionnelle le cas échéant</t>
  </si>
  <si>
    <t>Assurance exigée pour les travaux</t>
  </si>
  <si>
    <t>Permis</t>
  </si>
  <si>
    <t>Autres, précisez</t>
  </si>
  <si>
    <t>Total Achat construction, réaménagement, agrandissement, location</t>
  </si>
  <si>
    <t>Mobilier et équipement</t>
  </si>
  <si>
    <t>Équipements meubles</t>
  </si>
  <si>
    <t>Équipement de cuisine et/ou de buanderie</t>
  </si>
  <si>
    <t>Matériel et mobilier de bureau</t>
  </si>
  <si>
    <t>Matériel informatique</t>
  </si>
  <si>
    <t>Matériel éducatif</t>
  </si>
  <si>
    <t>Jouest destinés aux aires de jeux</t>
  </si>
  <si>
    <t>Autres - précisez</t>
  </si>
  <si>
    <t>Total Mobiier et équipement</t>
  </si>
  <si>
    <t>Jeux extérieurs</t>
  </si>
  <si>
    <t>Qn</t>
  </si>
  <si>
    <t>Coût</t>
  </si>
  <si>
    <t>Total</t>
  </si>
  <si>
    <t>Lit poupon</t>
  </si>
  <si>
    <t>Chaises hautes</t>
  </si>
  <si>
    <t>Tables</t>
  </si>
  <si>
    <t>Chaises</t>
  </si>
  <si>
    <t>Tables perso et chaises</t>
  </si>
  <si>
    <t>TOTAL ÉQUIPEMENT MEUBLE</t>
  </si>
  <si>
    <t>Ordinateur</t>
  </si>
  <si>
    <t>Imprimante</t>
  </si>
  <si>
    <t>Bureaux et chaises</t>
  </si>
  <si>
    <t>TOTAL ÉQUIPEMENT BUREAU</t>
  </si>
  <si>
    <t>Buanderie</t>
  </si>
  <si>
    <t>Laveuse</t>
  </si>
  <si>
    <t>Sécheuse</t>
  </si>
  <si>
    <t>Hotte</t>
  </si>
  <si>
    <t>Cuisine</t>
  </si>
  <si>
    <t>Frigo</t>
  </si>
  <si>
    <t>Congélo</t>
  </si>
  <si>
    <t>Cuisinière</t>
  </si>
  <si>
    <t>Lave-vaisselle</t>
  </si>
  <si>
    <t>TOTAL CUISINE BUANDERIE</t>
  </si>
  <si>
    <t>Mobiliers</t>
  </si>
  <si>
    <t>TOTAL MATÉRIEL INFORMATIQUE</t>
  </si>
  <si>
    <t>Jouets</t>
  </si>
  <si>
    <t>Nombre de places plus de 18 mois</t>
  </si>
  <si>
    <t>Nombre de places 18 mois ou moins (poupons)</t>
  </si>
  <si>
    <t>Clôture</t>
  </si>
  <si>
    <t>TOTAL MATÉRIEL ÉDUCATIF</t>
  </si>
  <si>
    <t>TOTAL JOUETS</t>
  </si>
  <si>
    <t>Jeux extérieurs si cour attenante</t>
  </si>
  <si>
    <t>Autres, précisez :</t>
  </si>
  <si>
    <t>Total – Jeux extérieurs</t>
  </si>
  <si>
    <t>Aménagement extérieur</t>
  </si>
  <si>
    <t>Stationnement</t>
  </si>
  <si>
    <t>Aménagement paysager</t>
  </si>
  <si>
    <t>Gazonnement</t>
  </si>
  <si>
    <t>Total – Aménagement extérieur</t>
  </si>
  <si>
    <t>Coûts incluant 50% taxes</t>
  </si>
  <si>
    <t>TOTAL GLOBAL</t>
  </si>
  <si>
    <r>
      <rPr>
        <b/>
        <sz val="11"/>
        <color rgb="FFFF0000"/>
        <rFont val="Century Gothic"/>
        <family val="2"/>
      </rPr>
      <t>(Uniquement pour validation)</t>
    </r>
    <r>
      <rPr>
        <sz val="11"/>
        <color theme="1"/>
        <rFont val="Century Gothic"/>
        <family val="2"/>
      </rPr>
      <t xml:space="preserve">
Enveloppe PFI du ministère mobilier-équipement</t>
    </r>
  </si>
  <si>
    <t>Durée du bail (en années)</t>
  </si>
  <si>
    <t>Montant de base locatif</t>
  </si>
  <si>
    <t>Salle multi locatif</t>
  </si>
  <si>
    <t>Montant poupon locatif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</si>
</sst>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$&quot;_);[Red]\(#,##0\ &quot;$&quot;\)"/>
    <numFmt numFmtId="44" formatCode="_ * #,##0.00_)\ &quot;$&quot;_ ;_ * \(#,##0.00\)\ &quot;$&quot;_ ;_ * &quot;-&quot;??_)\ &quot;$&quot;_ ;_ @_ "/>
  </numFmts>
  <fonts count="1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b/>
      <sz val="10"/>
      <color theme="1"/>
      <name val="Century Gothic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Century Gothic"/>
      <family val="2"/>
    </font>
    <font>
      <sz val="14"/>
      <color theme="1"/>
      <name val="Century Gothic"/>
      <family val="2"/>
    </font>
    <font>
      <vertAlign val="superscript"/>
      <sz val="11"/>
      <color theme="1"/>
      <name val="Calibri"/>
      <family val="2"/>
      <scheme val="minor"/>
    </font>
    <font>
      <sz val="12"/>
      <color rgb="FF495057"/>
      <name val="Times New Roman"/>
      <family val="1"/>
    </font>
    <font>
      <b/>
      <sz val="12"/>
      <color rgb="FF22222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7"/>
      <color theme="1"/>
      <name val="Segoe UI"/>
      <family val="2"/>
    </font>
    <font>
      <b/>
      <sz val="11"/>
      <color rgb="FFFF000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C7C1B7"/>
        <bgColor indexed="64"/>
      </patternFill>
    </fill>
    <fill>
      <patternFill patternType="solid">
        <fgColor rgb="FFE8E6E0"/>
        <bgColor indexed="64"/>
      </patternFill>
    </fill>
    <fill>
      <patternFill patternType="solid">
        <fgColor rgb="FFB4DEB8"/>
        <bgColor indexed="64"/>
      </patternFill>
    </fill>
    <fill>
      <patternFill patternType="solid">
        <fgColor rgb="FFB2A99B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DEE2E6"/>
      </right>
      <top/>
      <bottom style="medium">
        <color rgb="FFDEE2E6"/>
      </bottom>
      <diagonal/>
    </border>
    <border>
      <left/>
      <right style="medium">
        <color rgb="FFDEE2E6"/>
      </right>
      <top/>
      <bottom style="thick">
        <color rgb="FFDEE2E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5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left" indent="1"/>
    </xf>
    <xf numFmtId="0" fontId="4" fillId="0" borderId="1" xfId="0" applyFont="1" applyBorder="1" applyAlignment="1">
      <alignment horizontal="left" wrapText="1" inden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6" fontId="4" fillId="0" borderId="1" xfId="0" applyNumberFormat="1" applyFont="1" applyBorder="1" applyAlignment="1">
      <alignment horizontal="center" vertical="center"/>
    </xf>
    <xf numFmtId="6" fontId="4" fillId="0" borderId="0" xfId="0" applyNumberFormat="1" applyFont="1"/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6" fontId="4" fillId="0" borderId="0" xfId="0" applyNumberFormat="1" applyFont="1" applyAlignment="1">
      <alignment horizontal="center" vertical="center"/>
    </xf>
    <xf numFmtId="2" fontId="4" fillId="0" borderId="0" xfId="0" applyNumberFormat="1" applyFont="1"/>
    <xf numFmtId="0" fontId="4" fillId="2" borderId="1" xfId="0" applyFont="1" applyFill="1" applyBorder="1" applyAlignment="1">
      <alignment horizontal="left" indent="1"/>
    </xf>
    <xf numFmtId="2" fontId="4" fillId="2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44" fontId="6" fillId="0" borderId="0" xfId="1" applyFont="1" applyFill="1" applyAlignment="1">
      <alignment vertical="top"/>
    </xf>
    <xf numFmtId="0" fontId="5" fillId="0" borderId="1" xfId="0" applyFont="1" applyFill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5" fillId="3" borderId="1" xfId="0" applyFont="1" applyFill="1" applyBorder="1" applyAlignment="1">
      <alignment horizontal="left" vertical="top"/>
    </xf>
    <xf numFmtId="0" fontId="5" fillId="3" borderId="1" xfId="0" applyFont="1" applyFill="1" applyBorder="1" applyAlignment="1">
      <alignment vertical="top"/>
    </xf>
    <xf numFmtId="0" fontId="11" fillId="0" borderId="0" xfId="0" applyFont="1" applyAlignment="1">
      <alignment vertical="top"/>
    </xf>
    <xf numFmtId="0" fontId="6" fillId="0" borderId="0" xfId="0" applyFont="1" applyFill="1" applyAlignment="1">
      <alignment vertical="top"/>
    </xf>
    <xf numFmtId="44" fontId="11" fillId="0" borderId="0" xfId="1" applyFont="1" applyFill="1" applyAlignment="1">
      <alignment vertical="top"/>
    </xf>
    <xf numFmtId="44" fontId="6" fillId="0" borderId="1" xfId="1" applyFont="1" applyFill="1" applyBorder="1" applyAlignment="1" applyProtection="1">
      <alignment horizontal="right" vertical="top"/>
    </xf>
    <xf numFmtId="44" fontId="5" fillId="0" borderId="1" xfId="1" applyFont="1" applyFill="1" applyBorder="1" applyAlignment="1" applyProtection="1">
      <alignment horizontal="right" vertical="top"/>
    </xf>
    <xf numFmtId="0" fontId="6" fillId="0" borderId="1" xfId="0" applyFont="1" applyBorder="1" applyAlignment="1" applyProtection="1">
      <alignment vertical="top"/>
    </xf>
    <xf numFmtId="0" fontId="5" fillId="5" borderId="1" xfId="0" applyFont="1" applyFill="1" applyBorder="1" applyAlignment="1" applyProtection="1">
      <alignment horizontal="left" vertical="top"/>
      <protection locked="0"/>
    </xf>
    <xf numFmtId="0" fontId="5" fillId="5" borderId="1" xfId="0" applyFont="1" applyFill="1" applyBorder="1" applyAlignment="1" applyProtection="1">
      <alignment horizontal="left" vertical="top" wrapText="1"/>
      <protection locked="0"/>
    </xf>
    <xf numFmtId="0" fontId="0" fillId="0" borderId="1" xfId="0" applyBorder="1" applyAlignment="1">
      <alignment horizontal="left"/>
    </xf>
    <xf numFmtId="0" fontId="0" fillId="0" borderId="1" xfId="0" applyBorder="1"/>
    <xf numFmtId="2" fontId="0" fillId="0" borderId="1" xfId="0" applyNumberFormat="1" applyBorder="1"/>
    <xf numFmtId="0" fontId="6" fillId="0" borderId="1" xfId="1" applyNumberFormat="1" applyFont="1" applyFill="1" applyBorder="1" applyAlignment="1" applyProtection="1">
      <alignment horizontal="right" vertical="top"/>
    </xf>
    <xf numFmtId="0" fontId="10" fillId="0" borderId="0" xfId="0" applyFont="1" applyAlignment="1">
      <alignment horizontal="left" vertical="center"/>
    </xf>
    <xf numFmtId="0" fontId="5" fillId="5" borderId="1" xfId="0" applyFont="1" applyFill="1" applyBorder="1" applyAlignment="1" applyProtection="1">
      <alignment vertical="top"/>
      <protection locked="0"/>
    </xf>
    <xf numFmtId="0" fontId="5" fillId="6" borderId="1" xfId="0" applyFont="1" applyFill="1" applyBorder="1" applyAlignment="1">
      <alignment horizontal="left" vertical="top"/>
    </xf>
    <xf numFmtId="44" fontId="5" fillId="0" borderId="1" xfId="1" applyFont="1" applyFill="1" applyBorder="1" applyAlignment="1" applyProtection="1">
      <alignment vertical="top"/>
    </xf>
    <xf numFmtId="0" fontId="5" fillId="0" borderId="0" xfId="0" applyFont="1" applyFill="1" applyBorder="1" applyAlignment="1">
      <alignment horizontal="left" vertical="top"/>
    </xf>
    <xf numFmtId="44" fontId="5" fillId="0" borderId="1" xfId="1" applyFont="1" applyBorder="1" applyAlignment="1" applyProtection="1">
      <alignment vertical="top"/>
    </xf>
    <xf numFmtId="0" fontId="5" fillId="4" borderId="1" xfId="0" applyFont="1" applyFill="1" applyBorder="1" applyAlignment="1">
      <alignment horizontal="left" vertical="top"/>
    </xf>
    <xf numFmtId="0" fontId="5" fillId="6" borderId="1" xfId="0" applyFont="1" applyFill="1" applyBorder="1" applyAlignment="1" applyProtection="1">
      <alignment vertical="top"/>
    </xf>
    <xf numFmtId="0" fontId="6" fillId="0" borderId="1" xfId="0" applyFont="1" applyBorder="1" applyAlignment="1">
      <alignment vertical="top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vertical="top"/>
    </xf>
    <xf numFmtId="0" fontId="5" fillId="0" borderId="1" xfId="0" applyFont="1" applyBorder="1" applyAlignment="1">
      <alignment vertical="top" wrapText="1"/>
    </xf>
    <xf numFmtId="0" fontId="5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vertical="top" wrapText="1"/>
    </xf>
    <xf numFmtId="44" fontId="6" fillId="0" borderId="1" xfId="1" applyFont="1" applyBorder="1" applyAlignment="1">
      <alignment vertical="top"/>
    </xf>
    <xf numFmtId="44" fontId="5" fillId="4" borderId="1" xfId="1" applyFont="1" applyFill="1" applyBorder="1" applyAlignment="1">
      <alignment vertical="top"/>
    </xf>
    <xf numFmtId="0" fontId="6" fillId="0" borderId="0" xfId="0" applyFont="1" applyFill="1" applyBorder="1" applyAlignment="1">
      <alignment vertical="top"/>
    </xf>
    <xf numFmtId="0" fontId="11" fillId="0" borderId="0" xfId="0" applyFont="1" applyFill="1" applyBorder="1" applyAlignment="1">
      <alignment vertical="top"/>
    </xf>
    <xf numFmtId="0" fontId="0" fillId="0" borderId="0" xfId="0" applyFill="1" applyBorder="1"/>
    <xf numFmtId="44" fontId="0" fillId="0" borderId="0" xfId="0" applyNumberFormat="1" applyFill="1" applyBorder="1"/>
    <xf numFmtId="44" fontId="0" fillId="0" borderId="0" xfId="1" applyFont="1" applyFill="1" applyBorder="1"/>
    <xf numFmtId="9" fontId="0" fillId="0" borderId="0" xfId="0" applyNumberFormat="1" applyFill="1" applyBorder="1"/>
    <xf numFmtId="6" fontId="0" fillId="0" borderId="0" xfId="0" applyNumberFormat="1" applyFill="1" applyBorder="1"/>
    <xf numFmtId="44" fontId="5" fillId="0" borderId="1" xfId="1" applyFont="1" applyFill="1" applyBorder="1" applyAlignment="1">
      <alignment vertical="top"/>
    </xf>
    <xf numFmtId="44" fontId="5" fillId="4" borderId="1" xfId="1" applyFont="1" applyFill="1" applyBorder="1" applyAlignment="1">
      <alignment vertical="top" wrapText="1"/>
    </xf>
    <xf numFmtId="0" fontId="5" fillId="0" borderId="1" xfId="0" applyFont="1" applyBorder="1" applyAlignment="1" applyProtection="1">
      <alignment vertical="top" wrapText="1"/>
    </xf>
    <xf numFmtId="0" fontId="6" fillId="0" borderId="1" xfId="0" applyFont="1" applyFill="1" applyBorder="1" applyAlignment="1">
      <alignment vertical="top"/>
    </xf>
    <xf numFmtId="44" fontId="6" fillId="0" borderId="1" xfId="1" applyFont="1" applyFill="1" applyBorder="1"/>
    <xf numFmtId="0" fontId="6" fillId="3" borderId="1" xfId="0" applyFont="1" applyFill="1" applyBorder="1"/>
    <xf numFmtId="44" fontId="6" fillId="0" borderId="1" xfId="1" applyFont="1" applyFill="1" applyBorder="1" applyAlignment="1">
      <alignment vertical="top"/>
    </xf>
    <xf numFmtId="0" fontId="6" fillId="0" borderId="1" xfId="0" applyFont="1" applyFill="1" applyBorder="1" applyAlignment="1">
      <alignment horizontal="left" vertical="top"/>
    </xf>
    <xf numFmtId="44" fontId="6" fillId="0" borderId="1" xfId="1" applyFont="1" applyFill="1" applyBorder="1" applyAlignment="1">
      <alignment horizontal="left" vertical="top"/>
    </xf>
    <xf numFmtId="44" fontId="6" fillId="3" borderId="1" xfId="1" applyFont="1" applyFill="1" applyBorder="1" applyAlignment="1">
      <alignment horizontal="left" vertical="top"/>
    </xf>
    <xf numFmtId="44" fontId="5" fillId="3" borderId="1" xfId="1" applyFont="1" applyFill="1" applyBorder="1" applyAlignment="1">
      <alignment horizontal="left" vertical="top"/>
    </xf>
    <xf numFmtId="0" fontId="6" fillId="0" borderId="0" xfId="0" applyFont="1"/>
    <xf numFmtId="44" fontId="5" fillId="3" borderId="1" xfId="1" applyFont="1" applyFill="1" applyBorder="1"/>
    <xf numFmtId="0" fontId="6" fillId="0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top"/>
    </xf>
    <xf numFmtId="1" fontId="6" fillId="0" borderId="1" xfId="1" applyNumberFormat="1" applyFont="1" applyFill="1" applyBorder="1" applyAlignment="1">
      <alignment horizontal="center" vertical="top"/>
    </xf>
    <xf numFmtId="0" fontId="6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5" fillId="3" borderId="1" xfId="0" applyFont="1" applyFill="1" applyBorder="1"/>
    <xf numFmtId="44" fontId="5" fillId="3" borderId="1" xfId="1" applyFont="1" applyFill="1" applyBorder="1" applyAlignment="1">
      <alignment vertical="top"/>
    </xf>
    <xf numFmtId="0" fontId="5" fillId="3" borderId="0" xfId="0" applyFont="1" applyFill="1"/>
    <xf numFmtId="0" fontId="5" fillId="3" borderId="0" xfId="0" applyFont="1" applyFill="1" applyAlignment="1">
      <alignment horizontal="center"/>
    </xf>
    <xf numFmtId="44" fontId="5" fillId="3" borderId="0" xfId="0" applyNumberFormat="1" applyFont="1" applyFill="1"/>
    <xf numFmtId="0" fontId="6" fillId="0" borderId="1" xfId="0" applyFont="1" applyBorder="1"/>
    <xf numFmtId="1" fontId="6" fillId="0" borderId="1" xfId="0" applyNumberFormat="1" applyFont="1" applyBorder="1"/>
    <xf numFmtId="44" fontId="6" fillId="0" borderId="1" xfId="1" applyFont="1" applyBorder="1"/>
    <xf numFmtId="1" fontId="6" fillId="0" borderId="1" xfId="0" applyNumberFormat="1" applyFont="1" applyFill="1" applyBorder="1" applyAlignment="1">
      <alignment horizontal="center"/>
    </xf>
    <xf numFmtId="44" fontId="6" fillId="0" borderId="1" xfId="1" applyFont="1" applyFill="1" applyBorder="1" applyAlignment="1" applyProtection="1">
      <alignment vertical="top"/>
    </xf>
    <xf numFmtId="0" fontId="16" fillId="0" borderId="4" xfId="0" applyFont="1" applyFill="1" applyBorder="1" applyAlignment="1">
      <alignment vertical="center" wrapText="1"/>
    </xf>
    <xf numFmtId="0" fontId="0" fillId="0" borderId="0" xfId="0" applyFont="1" applyFill="1" applyBorder="1"/>
    <xf numFmtId="0" fontId="15" fillId="0" borderId="5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vertical="center" wrapText="1"/>
    </xf>
    <xf numFmtId="0" fontId="0" fillId="0" borderId="4" xfId="0" applyFill="1" applyBorder="1" applyAlignment="1">
      <alignment vertical="top" wrapText="1"/>
    </xf>
    <xf numFmtId="0" fontId="5" fillId="6" borderId="0" xfId="0" applyFont="1" applyFill="1" applyAlignment="1">
      <alignment vertical="top"/>
    </xf>
    <xf numFmtId="0" fontId="5" fillId="0" borderId="6" xfId="0" applyFont="1" applyBorder="1" applyAlignment="1">
      <alignment horizontal="left" vertical="top"/>
    </xf>
    <xf numFmtId="44" fontId="5" fillId="0" borderId="6" xfId="1" applyFont="1" applyBorder="1" applyAlignment="1" applyProtection="1">
      <alignment vertical="top"/>
    </xf>
    <xf numFmtId="0" fontId="5" fillId="4" borderId="1" xfId="0" applyFont="1" applyFill="1" applyBorder="1" applyAlignment="1">
      <alignment vertical="top"/>
    </xf>
    <xf numFmtId="44" fontId="5" fillId="4" borderId="1" xfId="0" applyNumberFormat="1" applyFont="1" applyFill="1" applyBorder="1" applyAlignment="1">
      <alignment vertical="top"/>
    </xf>
    <xf numFmtId="0" fontId="6" fillId="6" borderId="1" xfId="0" applyFont="1" applyFill="1" applyBorder="1" applyAlignment="1">
      <alignment vertical="top"/>
    </xf>
    <xf numFmtId="0" fontId="6" fillId="4" borderId="1" xfId="0" applyFont="1" applyFill="1" applyBorder="1" applyAlignment="1">
      <alignment vertical="top"/>
    </xf>
    <xf numFmtId="0" fontId="5" fillId="6" borderId="3" xfId="0" applyFont="1" applyFill="1" applyBorder="1" applyAlignment="1" applyProtection="1">
      <alignment vertical="top"/>
    </xf>
    <xf numFmtId="0" fontId="6" fillId="0" borderId="1" xfId="0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0" fontId="6" fillId="0" borderId="0" xfId="0" applyFont="1" applyBorder="1" applyAlignment="1">
      <alignment vertical="top"/>
    </xf>
    <xf numFmtId="44" fontId="6" fillId="0" borderId="0" xfId="1" applyFont="1" applyFill="1" applyBorder="1" applyAlignment="1" applyProtection="1">
      <alignment vertical="top"/>
    </xf>
    <xf numFmtId="44" fontId="6" fillId="0" borderId="0" xfId="1" applyFont="1" applyFill="1" applyBorder="1" applyAlignment="1">
      <alignment vertical="top"/>
    </xf>
    <xf numFmtId="44" fontId="7" fillId="0" borderId="0" xfId="1" applyFont="1" applyFill="1" applyBorder="1" applyAlignment="1" applyProtection="1">
      <alignment horizontal="right" vertical="top" wrapText="1"/>
    </xf>
    <xf numFmtId="44" fontId="6" fillId="0" borderId="0" xfId="1" applyFont="1" applyFill="1" applyBorder="1" applyAlignment="1" applyProtection="1">
      <alignment horizontal="right" vertical="top"/>
    </xf>
    <xf numFmtId="0" fontId="5" fillId="0" borderId="0" xfId="0" applyFont="1" applyFill="1" applyBorder="1" applyAlignment="1">
      <alignment vertical="top"/>
    </xf>
    <xf numFmtId="44" fontId="7" fillId="0" borderId="0" xfId="1" applyFont="1" applyFill="1" applyBorder="1" applyAlignment="1" applyProtection="1">
      <alignment horizontal="right" vertical="top"/>
    </xf>
    <xf numFmtId="0" fontId="6" fillId="0" borderId="0" xfId="0" applyFont="1" applyFill="1" applyBorder="1" applyAlignment="1">
      <alignment horizontal="left" vertical="top"/>
    </xf>
    <xf numFmtId="44" fontId="5" fillId="0" borderId="0" xfId="1" applyFont="1" applyFill="1" applyBorder="1" applyAlignment="1" applyProtection="1">
      <alignment vertical="top"/>
    </xf>
    <xf numFmtId="1" fontId="6" fillId="0" borderId="0" xfId="1" applyNumberFormat="1" applyFont="1" applyFill="1" applyBorder="1" applyAlignment="1" applyProtection="1">
      <alignment horizontal="right" vertical="top"/>
    </xf>
    <xf numFmtId="1" fontId="6" fillId="0" borderId="0" xfId="0" applyNumberFormat="1" applyFont="1" applyFill="1" applyBorder="1" applyAlignment="1">
      <alignment vertical="top"/>
    </xf>
    <xf numFmtId="44" fontId="6" fillId="0" borderId="1" xfId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left" vertical="top"/>
    </xf>
    <xf numFmtId="0" fontId="5" fillId="6" borderId="8" xfId="0" applyFont="1" applyFill="1" applyBorder="1" applyAlignment="1" applyProtection="1">
      <alignment vertical="top"/>
    </xf>
    <xf numFmtId="44" fontId="5" fillId="6" borderId="9" xfId="1" applyFont="1" applyFill="1" applyBorder="1" applyAlignment="1">
      <alignment vertical="top"/>
    </xf>
    <xf numFmtId="0" fontId="17" fillId="0" borderId="0" xfId="0" applyFont="1" applyAlignment="1">
      <alignment wrapText="1"/>
    </xf>
    <xf numFmtId="0" fontId="6" fillId="0" borderId="1" xfId="0" applyFont="1" applyFill="1" applyBorder="1" applyAlignment="1">
      <alignment vertical="top" wrapText="1"/>
    </xf>
    <xf numFmtId="0" fontId="6" fillId="0" borderId="0" xfId="1" applyNumberFormat="1" applyFont="1" applyFill="1" applyBorder="1" applyAlignment="1" applyProtection="1">
      <alignment horizontal="right" vertical="top"/>
    </xf>
    <xf numFmtId="0" fontId="5" fillId="6" borderId="10" xfId="0" applyFont="1" applyFill="1" applyBorder="1" applyAlignment="1">
      <alignment horizontal="left" vertical="top"/>
    </xf>
    <xf numFmtId="0" fontId="5" fillId="6" borderId="10" xfId="0" applyFont="1" applyFill="1" applyBorder="1" applyAlignment="1" applyProtection="1">
      <alignment vertical="top"/>
    </xf>
    <xf numFmtId="44" fontId="6" fillId="5" borderId="1" xfId="1" applyFont="1" applyFill="1" applyBorder="1" applyAlignment="1" applyProtection="1">
      <alignment vertical="top"/>
      <protection locked="0"/>
    </xf>
    <xf numFmtId="0" fontId="5" fillId="5" borderId="1" xfId="0" applyFont="1" applyFill="1" applyBorder="1" applyAlignment="1" applyProtection="1">
      <alignment horizontal="left" vertical="top"/>
    </xf>
    <xf numFmtId="0" fontId="10" fillId="5" borderId="0" xfId="0" applyFont="1" applyFill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/>
    </xf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colors>
    <mruColors>
      <color rgb="FFB4DEB8"/>
      <color rgb="FFB2A99B"/>
      <color rgb="FFE8E6E0"/>
      <color rgb="FFC7C1B7"/>
      <color rgb="FFBFA598"/>
      <color rgb="FFF2F1EE"/>
      <color rgb="FFC1C4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1400849</xdr:colOff>
      <xdr:row>0</xdr:row>
      <xdr:rowOff>0</xdr:rowOff>
    </xdr:from>
    <xdr:to>
      <xdr:col>1</xdr:col>
      <xdr:colOff>2727467</xdr:colOff>
      <xdr:row>0</xdr:row>
      <xdr:rowOff>672834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E07DC492-AA4C-4E5C-8A29-F39289784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72304" y="0"/>
          <a:ext cx="1317728" cy="6588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1397040</xdr:colOff>
      <xdr:row>0</xdr:row>
      <xdr:rowOff>0</xdr:rowOff>
    </xdr:from>
    <xdr:to>
      <xdr:col>1</xdr:col>
      <xdr:colOff>2628900</xdr:colOff>
      <xdr:row>1</xdr:row>
      <xdr:rowOff>2343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7EC403A-F061-4B57-B98E-569C0B1709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38460" y="0"/>
          <a:ext cx="1231860" cy="69068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1400849</xdr:colOff>
      <xdr:row>0</xdr:row>
      <xdr:rowOff>0</xdr:rowOff>
    </xdr:from>
    <xdr:to>
      <xdr:col>1</xdr:col>
      <xdr:colOff>2730007</xdr:colOff>
      <xdr:row>0</xdr:row>
      <xdr:rowOff>669024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858413D-7C4C-43DA-921E-09CF770E1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73689" y="0"/>
          <a:ext cx="1329158" cy="6690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Bureau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9CE5B-48C2-408F-9C07-A2ECCE5FA476}">
  <sheetPr codeName="Feuil1"/>
  <dimension ref="A1:R82"/>
  <sheetViews>
    <sheetView tabSelected="1" zoomScaleNormal="100" workbookViewId="0">
      <selection activeCell="B5" sqref="B5"/>
    </sheetView>
  </sheetViews>
  <sheetFormatPr baseColWidth="10" defaultColWidth="11.5" defaultRowHeight="14" x14ac:dyDescent="0.2"/>
  <cols>
    <col min="1" max="1" width="53.5" style="21" customWidth="1"/>
    <col min="2" max="2" width="42.5" style="20" customWidth="1"/>
    <col min="3" max="3" width="26.33203125" style="23" customWidth="1"/>
    <col min="4" max="4" width="11.5" style="29"/>
    <col min="5" max="5" width="28.6640625" style="29" bestFit="1" customWidth="1"/>
    <col min="6" max="6" width="18.83203125" style="29" customWidth="1"/>
    <col min="7" max="8" width="13.33203125" style="20" bestFit="1" customWidth="1"/>
    <col min="9" max="16384" width="11.5" style="20"/>
  </cols>
  <sheetData>
    <row r="1" spans="1:18" ht="56.5" customHeight="1" x14ac:dyDescent="0.2">
      <c r="A1" s="40" t="s">
        <v>54</v>
      </c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s="28" customFormat="1" ht="61.25" customHeight="1" x14ac:dyDescent="0.2">
      <c r="A2" s="131" t="s">
        <v>43</v>
      </c>
      <c r="B2" s="131"/>
      <c r="C2" s="30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</row>
    <row r="3" spans="1:18" x14ac:dyDescent="0.2"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</row>
    <row r="4" spans="1:18" x14ac:dyDescent="0.2">
      <c r="A4" s="26" t="s">
        <v>110</v>
      </c>
      <c r="B4" s="34">
        <v>70</v>
      </c>
    </row>
    <row r="5" spans="1:18" ht="15" x14ac:dyDescent="0.2">
      <c r="A5" s="26" t="s">
        <v>111</v>
      </c>
      <c r="B5" s="34">
        <v>10</v>
      </c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6"/>
    </row>
    <row r="6" spans="1:18" ht="15" x14ac:dyDescent="0.2">
      <c r="A6" s="26" t="s">
        <v>22</v>
      </c>
      <c r="B6" s="130">
        <f>B4+B5</f>
        <v>80</v>
      </c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6"/>
    </row>
    <row r="7" spans="1:18" ht="15" x14ac:dyDescent="0.2">
      <c r="A7" s="26" t="s">
        <v>25</v>
      </c>
      <c r="B7" s="35" t="s">
        <v>10</v>
      </c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9"/>
      <c r="P7" s="58"/>
      <c r="Q7" s="58"/>
      <c r="R7" s="56"/>
    </row>
    <row r="8" spans="1:18" ht="27.5" customHeight="1" x14ac:dyDescent="0.2">
      <c r="A8" s="26" t="s">
        <v>44</v>
      </c>
      <c r="B8" s="41" t="s">
        <v>50</v>
      </c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9"/>
      <c r="P8" s="58"/>
      <c r="Q8" s="58"/>
      <c r="R8" s="56"/>
    </row>
    <row r="9" spans="1:18" ht="27.5" hidden="1" customHeight="1" x14ac:dyDescent="0.2">
      <c r="A9" s="25" t="s">
        <v>23</v>
      </c>
      <c r="B9" s="31">
        <f>VLOOKUP(B6,'Annexe II'!A4:B83,2,FALSE)</f>
        <v>1181052</v>
      </c>
      <c r="C9" s="29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9"/>
      <c r="P9" s="58"/>
      <c r="Q9" s="58"/>
      <c r="R9" s="56"/>
    </row>
    <row r="10" spans="1:18" ht="27.5" hidden="1" customHeight="1" x14ac:dyDescent="0.2">
      <c r="A10" s="25" t="s">
        <v>24</v>
      </c>
      <c r="B10" s="31">
        <f>B5*4670</f>
        <v>46700</v>
      </c>
      <c r="C10" s="29"/>
      <c r="D10" s="58"/>
      <c r="E10" s="58"/>
      <c r="F10" s="58"/>
      <c r="G10" s="58"/>
      <c r="H10" s="58"/>
      <c r="I10" s="58"/>
      <c r="J10" s="58"/>
      <c r="K10" s="58"/>
      <c r="L10" s="60"/>
      <c r="M10" s="58"/>
      <c r="N10" s="58"/>
      <c r="O10" s="58"/>
      <c r="P10" s="58"/>
      <c r="Q10" s="58"/>
      <c r="R10" s="56"/>
    </row>
    <row r="11" spans="1:18" ht="27.5" hidden="1" customHeight="1" x14ac:dyDescent="0.2">
      <c r="A11" s="25" t="s">
        <v>44</v>
      </c>
      <c r="B11" s="31">
        <f>VLOOKUP(B6,'Annexe III'!A4:B83,2,FALSE)</f>
        <v>124267</v>
      </c>
      <c r="C11" s="29"/>
      <c r="D11" s="58"/>
      <c r="E11" s="58"/>
      <c r="F11" s="58"/>
      <c r="G11" s="58"/>
      <c r="H11" s="58"/>
      <c r="I11" s="58"/>
      <c r="J11" s="58"/>
      <c r="K11" s="58"/>
      <c r="L11" s="60"/>
      <c r="M11" s="58"/>
      <c r="N11" s="58"/>
      <c r="O11" s="58"/>
      <c r="P11" s="58"/>
      <c r="Q11" s="58"/>
      <c r="R11" s="56"/>
    </row>
    <row r="12" spans="1:18" ht="27.5" hidden="1" customHeight="1" x14ac:dyDescent="0.2">
      <c r="A12" s="24" t="s">
        <v>41</v>
      </c>
      <c r="B12" s="31">
        <f>IF(B8="oui",B9+B10+B11,B9+B10)</f>
        <v>1352019</v>
      </c>
      <c r="C12" s="29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6"/>
    </row>
    <row r="13" spans="1:18" ht="27.5" hidden="1" customHeight="1" x14ac:dyDescent="0.2">
      <c r="A13" s="24"/>
      <c r="B13" s="32"/>
      <c r="C13" s="29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6"/>
    </row>
    <row r="14" spans="1:18" ht="27.5" hidden="1" customHeight="1" x14ac:dyDescent="0.2">
      <c r="A14" s="24" t="s">
        <v>42</v>
      </c>
      <c r="B14" s="39">
        <f>VLOOKUP(B7,'Annexe IV'!A4:B27,2,FALSE)</f>
        <v>1</v>
      </c>
      <c r="C14" s="29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60"/>
      <c r="R14" s="56"/>
    </row>
    <row r="15" spans="1:18" ht="12" customHeight="1" x14ac:dyDescent="0.2">
      <c r="A15" s="22"/>
      <c r="B15" s="33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60"/>
      <c r="R15" s="56"/>
    </row>
    <row r="16" spans="1:18" ht="31.25" customHeight="1" x14ac:dyDescent="0.2">
      <c r="A16" s="42" t="s">
        <v>54</v>
      </c>
      <c r="B16" s="103"/>
      <c r="C16" s="47" t="s">
        <v>123</v>
      </c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60"/>
      <c r="R16" s="56"/>
    </row>
    <row r="17" spans="1:18" ht="31.25" customHeight="1" x14ac:dyDescent="0.2">
      <c r="A17" s="24" t="s">
        <v>52</v>
      </c>
      <c r="B17" s="48"/>
      <c r="C17" s="43" cm="1">
        <f t="array" ref="C17">_xlfn.IFS((C29+C31+C32+C61)&lt;300000,(C29+C31+C32+C61)*0.09,(C29+C31+C32+C61)&lt;600000,27000+(((C29+C31+C32+C61)-300000)*0.072),(C29+C31+C32+C61)&lt;1250000,48600+(((C29+C31+C32+C61)-600000)*0.063),(C29+C31+C32+C61)&gt;1250000,89550+(((C29+C31+C32+C61)-1250000)*0.0576))/2</f>
        <v>50438.817504000006</v>
      </c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60"/>
      <c r="R17" s="56"/>
    </row>
    <row r="18" spans="1:18" ht="31.25" customHeight="1" x14ac:dyDescent="0.2">
      <c r="A18" s="24" t="s">
        <v>53</v>
      </c>
      <c r="B18" s="48"/>
      <c r="C18" s="43" cm="1">
        <f t="array" ref="C18">_xlfn.IFS((C29+C31+C32+C61)&lt;300000,(C29+C31+C32+C61)*0.09,(C29+C31+C32+C61)&lt;600000,27000+(((C29+C31+C32+C61)-300000)*0.072),(C29+C31+C32+C61)&lt;1250000,48600+(((C29+C31+C32+C61)-600000)*0.063),(C29+C31+C32+C61)&gt;1250000,89550+(((C29+C31+C32+C61)-1250000)*0.0576))/2</f>
        <v>50438.817504000006</v>
      </c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60"/>
      <c r="R18" s="56"/>
    </row>
    <row r="19" spans="1:18" ht="31.25" customHeight="1" x14ac:dyDescent="0.2">
      <c r="A19" s="24" t="s">
        <v>55</v>
      </c>
      <c r="B19" s="48"/>
      <c r="C19" s="43">
        <v>5000</v>
      </c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60"/>
      <c r="R19" s="56"/>
    </row>
    <row r="20" spans="1:18" ht="31.25" customHeight="1" x14ac:dyDescent="0.2">
      <c r="A20" s="24" t="s">
        <v>56</v>
      </c>
      <c r="B20" s="48"/>
      <c r="C20" s="43">
        <v>0</v>
      </c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60"/>
      <c r="R20" s="56"/>
    </row>
    <row r="21" spans="1:18" ht="31.25" customHeight="1" x14ac:dyDescent="0.2">
      <c r="A21" s="24" t="s">
        <v>57</v>
      </c>
      <c r="B21" s="48"/>
      <c r="C21" s="43">
        <v>0</v>
      </c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60"/>
      <c r="R21" s="56"/>
    </row>
    <row r="22" spans="1:18" ht="31.25" customHeight="1" x14ac:dyDescent="0.2">
      <c r="A22" s="25" t="s">
        <v>58</v>
      </c>
      <c r="B22" s="48"/>
      <c r="C22" s="45">
        <v>5000</v>
      </c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60"/>
      <c r="R22" s="56"/>
    </row>
    <row r="23" spans="1:18" ht="31.25" customHeight="1" x14ac:dyDescent="0.2">
      <c r="A23" s="25" t="s">
        <v>59</v>
      </c>
      <c r="B23" s="48"/>
      <c r="C23" s="45">
        <v>0</v>
      </c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60"/>
      <c r="R23" s="56"/>
    </row>
    <row r="24" spans="1:18" ht="31.25" customHeight="1" x14ac:dyDescent="0.2">
      <c r="A24" s="24" t="s">
        <v>60</v>
      </c>
      <c r="B24" s="48"/>
      <c r="C24" s="43">
        <f>SUM(C17:C23)</f>
        <v>110877.63500800001</v>
      </c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60"/>
      <c r="R24" s="56"/>
    </row>
    <row r="25" spans="1:18" ht="31.25" customHeight="1" x14ac:dyDescent="0.2">
      <c r="A25" s="24" t="s">
        <v>40</v>
      </c>
      <c r="B25" s="48"/>
      <c r="C25" s="43" cm="1">
        <f t="array" ref="C25">_xlfn.IFS((C29+C31+C32+C61)&lt;750000,(C29+C31+C32+C61)*0.03,(C29+C31+C32+C61)&lt;1500000,22500+(((C29+C31+C32+C61)-750000)*0.02),(C29+C31+C32+C61)&gt;1500000,37500+(((C29+C31+C32+C61)-1500000)*0.015))</f>
        <v>36433.206600000005</v>
      </c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60"/>
      <c r="R25" s="56"/>
    </row>
    <row r="26" spans="1:18" ht="31.25" customHeight="1" x14ac:dyDescent="0.2">
      <c r="A26" s="101" t="s">
        <v>61</v>
      </c>
      <c r="B26" s="104"/>
      <c r="C26" s="102">
        <f>C24+C25</f>
        <v>147310.84160800002</v>
      </c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60"/>
      <c r="R26" s="56"/>
    </row>
    <row r="27" spans="1:18" ht="15" x14ac:dyDescent="0.2">
      <c r="A27" s="99"/>
      <c r="B27" s="100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60"/>
      <c r="R27" s="56"/>
    </row>
    <row r="28" spans="1:18" ht="26" customHeight="1" x14ac:dyDescent="0.2">
      <c r="A28" s="42" t="s">
        <v>63</v>
      </c>
      <c r="B28" s="47" t="s">
        <v>62</v>
      </c>
      <c r="C28" s="47" t="s">
        <v>123</v>
      </c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60"/>
      <c r="R28" s="56"/>
    </row>
    <row r="29" spans="1:18" ht="45.75" customHeight="1" x14ac:dyDescent="0.2">
      <c r="A29" s="49" t="s">
        <v>64</v>
      </c>
      <c r="B29" s="65" t="s">
        <v>65</v>
      </c>
      <c r="C29" s="32">
        <f>VLOOKUP(B6,'Annexe II'!A4:B83,2,FALSE)</f>
        <v>1181052</v>
      </c>
      <c r="D29" s="58"/>
      <c r="E29" s="124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60"/>
      <c r="R29" s="56"/>
    </row>
    <row r="30" spans="1:18" ht="30" customHeight="1" x14ac:dyDescent="0.2">
      <c r="A30" s="50" t="s">
        <v>66</v>
      </c>
      <c r="B30" s="50" t="s">
        <v>67</v>
      </c>
      <c r="C30" s="63">
        <v>400000</v>
      </c>
      <c r="D30" s="56"/>
      <c r="E30" s="56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60"/>
      <c r="R30" s="56"/>
    </row>
    <row r="31" spans="1:18" ht="30" customHeight="1" x14ac:dyDescent="0.2">
      <c r="A31" s="51" t="s">
        <v>68</v>
      </c>
      <c r="B31" s="50"/>
      <c r="C31" s="63">
        <f>B5*4670</f>
        <v>46700</v>
      </c>
      <c r="D31" s="56"/>
      <c r="E31" s="56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9"/>
      <c r="R31" s="56"/>
    </row>
    <row r="32" spans="1:18" ht="30" customHeight="1" x14ac:dyDescent="0.2">
      <c r="A32" s="50" t="s">
        <v>69</v>
      </c>
      <c r="B32" s="50"/>
      <c r="C32" s="63">
        <f>IF(B8="oui",B11,0)</f>
        <v>124267</v>
      </c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61"/>
      <c r="Q32" s="60"/>
      <c r="R32" s="56"/>
    </row>
    <row r="33" spans="1:18" ht="30" customHeight="1" x14ac:dyDescent="0.2">
      <c r="A33" s="25" t="s">
        <v>70</v>
      </c>
      <c r="B33" s="45"/>
      <c r="C33" s="63">
        <v>2000</v>
      </c>
      <c r="D33" s="56"/>
      <c r="E33" s="56"/>
      <c r="F33" s="58"/>
      <c r="G33" s="58"/>
      <c r="H33" s="58"/>
      <c r="I33" s="56"/>
      <c r="J33" s="56"/>
      <c r="K33" s="56"/>
      <c r="L33" s="56"/>
      <c r="M33" s="58"/>
      <c r="N33" s="58"/>
      <c r="O33" s="58"/>
      <c r="P33" s="58"/>
      <c r="Q33" s="58"/>
      <c r="R33" s="56"/>
    </row>
    <row r="34" spans="1:18" ht="30" customHeight="1" x14ac:dyDescent="0.2">
      <c r="A34" s="50" t="s">
        <v>71</v>
      </c>
      <c r="B34" s="50"/>
      <c r="C34" s="63">
        <f>((C29+C31+C32)/1000)*9.8</f>
        <v>13249.7862</v>
      </c>
      <c r="D34" s="56"/>
      <c r="E34" s="56"/>
      <c r="F34" s="58"/>
      <c r="G34" s="58"/>
      <c r="H34" s="58"/>
      <c r="I34" s="58"/>
      <c r="J34" s="58"/>
      <c r="K34" s="58"/>
      <c r="L34" s="58"/>
      <c r="M34" s="58"/>
      <c r="N34" s="58"/>
      <c r="O34" s="60"/>
      <c r="P34" s="58"/>
      <c r="Q34" s="58"/>
      <c r="R34" s="56"/>
    </row>
    <row r="35" spans="1:18" ht="30" customHeight="1" x14ac:dyDescent="0.2">
      <c r="A35" s="50" t="s">
        <v>72</v>
      </c>
      <c r="B35" s="50"/>
      <c r="C35" s="63"/>
      <c r="D35" s="56"/>
      <c r="E35" s="56"/>
      <c r="F35" s="58"/>
      <c r="G35" s="58"/>
      <c r="H35" s="58"/>
      <c r="I35" s="58"/>
      <c r="J35" s="58"/>
      <c r="K35" s="58"/>
      <c r="L35" s="58"/>
      <c r="M35" s="58"/>
      <c r="N35" s="58"/>
      <c r="O35" s="60"/>
      <c r="P35" s="58"/>
      <c r="Q35" s="58"/>
      <c r="R35" s="56"/>
    </row>
    <row r="36" spans="1:18" ht="30" customHeight="1" x14ac:dyDescent="0.2">
      <c r="A36" s="52" t="s">
        <v>73</v>
      </c>
      <c r="B36" s="53"/>
      <c r="C36" s="64">
        <f>SUM(C29:C35)</f>
        <v>1767268.7862</v>
      </c>
      <c r="D36" s="56"/>
      <c r="E36" s="56"/>
      <c r="F36" s="58"/>
      <c r="G36" s="58"/>
      <c r="H36" s="58"/>
      <c r="I36" s="58"/>
      <c r="J36" s="58"/>
      <c r="K36" s="58"/>
      <c r="L36" s="58"/>
      <c r="M36" s="58"/>
      <c r="N36" s="58"/>
      <c r="O36" s="60"/>
      <c r="P36" s="58"/>
      <c r="Q36" s="58"/>
      <c r="R36" s="56"/>
    </row>
    <row r="37" spans="1:18" ht="15" x14ac:dyDescent="0.2">
      <c r="A37" s="29"/>
      <c r="B37" s="29"/>
      <c r="C37" s="29"/>
      <c r="D37" s="56"/>
      <c r="E37" s="56"/>
      <c r="F37" s="58"/>
      <c r="G37" s="58"/>
      <c r="H37" s="58"/>
      <c r="I37" s="58"/>
      <c r="J37" s="58"/>
      <c r="K37" s="58"/>
      <c r="L37" s="58"/>
      <c r="M37" s="58"/>
      <c r="N37" s="58"/>
      <c r="O37" s="60"/>
      <c r="P37" s="58"/>
      <c r="Q37" s="58"/>
      <c r="R37" s="56"/>
    </row>
    <row r="38" spans="1:18" ht="30" customHeight="1" x14ac:dyDescent="0.2">
      <c r="A38" s="42" t="s">
        <v>74</v>
      </c>
      <c r="B38" s="103"/>
      <c r="C38" s="47" t="s">
        <v>123</v>
      </c>
      <c r="D38" s="56"/>
      <c r="E38" s="20"/>
      <c r="F38" s="20"/>
      <c r="I38" s="58"/>
      <c r="J38" s="58"/>
      <c r="K38" s="58"/>
      <c r="L38" s="58"/>
      <c r="M38" s="58"/>
      <c r="N38" s="58"/>
      <c r="O38" s="60"/>
      <c r="P38" s="58"/>
      <c r="Q38" s="58"/>
      <c r="R38" s="56"/>
    </row>
    <row r="39" spans="1:18" ht="30" customHeight="1" x14ac:dyDescent="0.2">
      <c r="A39" s="22" t="s">
        <v>75</v>
      </c>
      <c r="B39" s="48"/>
      <c r="C39" s="54">
        <f>'Calculs mobilier'!D8</f>
        <v>19525</v>
      </c>
      <c r="D39" s="56"/>
      <c r="E39" s="20"/>
      <c r="F39" s="20"/>
      <c r="I39" s="58"/>
      <c r="J39" s="58"/>
      <c r="K39" s="58"/>
      <c r="L39" s="60"/>
      <c r="M39" s="58"/>
      <c r="N39" s="58"/>
      <c r="O39" s="62"/>
      <c r="P39" s="58"/>
      <c r="Q39" s="58"/>
      <c r="R39" s="56"/>
    </row>
    <row r="40" spans="1:18" ht="30" customHeight="1" x14ac:dyDescent="0.2">
      <c r="A40" s="22" t="s">
        <v>76</v>
      </c>
      <c r="B40" s="48"/>
      <c r="C40" s="54">
        <f>'Calculs mobilier'!D19</f>
        <v>25000</v>
      </c>
      <c r="D40" s="56"/>
      <c r="E40" s="20"/>
      <c r="F40" s="20"/>
      <c r="I40" s="58"/>
      <c r="J40" s="58"/>
      <c r="K40" s="58"/>
      <c r="L40" s="59"/>
      <c r="M40" s="58"/>
      <c r="N40" s="58"/>
      <c r="O40" s="60"/>
      <c r="P40" s="58"/>
      <c r="Q40" s="58"/>
      <c r="R40" s="56"/>
    </row>
    <row r="41" spans="1:18" ht="30" customHeight="1" x14ac:dyDescent="0.2">
      <c r="A41" s="22" t="s">
        <v>77</v>
      </c>
      <c r="B41" s="48"/>
      <c r="C41" s="54">
        <f>'Calculs mobilier'!D22</f>
        <v>750</v>
      </c>
      <c r="D41" s="56"/>
      <c r="E41" s="20"/>
      <c r="F41" s="20"/>
      <c r="I41" s="58"/>
      <c r="J41" s="58"/>
      <c r="K41" s="58"/>
      <c r="L41" s="58"/>
      <c r="M41" s="58"/>
      <c r="N41" s="58"/>
      <c r="O41" s="58"/>
      <c r="P41" s="58"/>
      <c r="Q41" s="58"/>
      <c r="R41" s="56"/>
    </row>
    <row r="42" spans="1:18" ht="30" customHeight="1" x14ac:dyDescent="0.2">
      <c r="A42" s="22" t="s">
        <v>78</v>
      </c>
      <c r="B42" s="48"/>
      <c r="C42" s="54">
        <f>'Calculs mobilier'!D26</f>
        <v>2000</v>
      </c>
      <c r="D42" s="56"/>
      <c r="E42" s="20"/>
      <c r="F42" s="20"/>
      <c r="I42" s="58"/>
      <c r="J42" s="58"/>
      <c r="K42" s="58"/>
      <c r="L42" s="58"/>
      <c r="M42" s="58"/>
      <c r="N42" s="60"/>
      <c r="O42" s="60"/>
      <c r="P42" s="60"/>
      <c r="Q42" s="58"/>
      <c r="R42" s="56"/>
    </row>
    <row r="43" spans="1:18" ht="30" customHeight="1" x14ac:dyDescent="0.2">
      <c r="A43" s="22" t="s">
        <v>79</v>
      </c>
      <c r="B43" s="48"/>
      <c r="C43" s="54">
        <f>'Calculs mobilier'!D29</f>
        <v>15587.5</v>
      </c>
      <c r="D43" s="56"/>
      <c r="E43" s="20"/>
      <c r="F43" s="20"/>
      <c r="I43" s="58"/>
      <c r="J43" s="58"/>
      <c r="K43" s="58"/>
      <c r="L43" s="58"/>
      <c r="M43" s="58"/>
      <c r="N43" s="58"/>
      <c r="O43" s="58"/>
      <c r="P43" s="58"/>
      <c r="Q43" s="58"/>
      <c r="R43" s="56"/>
    </row>
    <row r="44" spans="1:18" ht="30" customHeight="1" x14ac:dyDescent="0.2">
      <c r="A44" s="22" t="s">
        <v>80</v>
      </c>
      <c r="B44" s="48"/>
      <c r="C44" s="54">
        <f>'Calculs mobilier'!D32</f>
        <v>13437.5</v>
      </c>
      <c r="D44" s="56"/>
      <c r="E44" s="20"/>
      <c r="F44" s="20"/>
      <c r="I44" s="58"/>
      <c r="J44" s="58"/>
      <c r="K44" s="58"/>
      <c r="L44" s="58"/>
      <c r="M44" s="58"/>
      <c r="N44" s="58"/>
      <c r="O44" s="58"/>
      <c r="P44" s="58"/>
      <c r="Q44" s="58"/>
      <c r="R44" s="56"/>
    </row>
    <row r="45" spans="1:18" ht="30" customHeight="1" x14ac:dyDescent="0.2">
      <c r="A45" s="22" t="s">
        <v>81</v>
      </c>
      <c r="B45" s="48"/>
      <c r="C45" s="54"/>
      <c r="D45" s="56"/>
      <c r="E45" s="20"/>
      <c r="F45" s="20"/>
      <c r="I45" s="58"/>
      <c r="J45" s="58"/>
      <c r="K45" s="58"/>
      <c r="L45" s="58"/>
      <c r="M45" s="58"/>
      <c r="N45" s="58"/>
      <c r="O45" s="58"/>
      <c r="P45" s="58"/>
      <c r="Q45" s="58"/>
      <c r="R45" s="56"/>
    </row>
    <row r="46" spans="1:18" ht="26" customHeight="1" x14ac:dyDescent="0.2">
      <c r="A46" s="46" t="s">
        <v>82</v>
      </c>
      <c r="B46" s="104"/>
      <c r="C46" s="55">
        <f>SUM(C39:C45)</f>
        <v>76300</v>
      </c>
      <c r="D46" s="56"/>
      <c r="E46" s="20"/>
      <c r="F46" s="20"/>
      <c r="I46" s="58"/>
      <c r="J46" s="58"/>
      <c r="K46" s="58"/>
      <c r="L46" s="58"/>
      <c r="M46" s="58"/>
      <c r="N46" s="58"/>
      <c r="O46" s="58"/>
      <c r="P46" s="58"/>
      <c r="Q46" s="58"/>
      <c r="R46" s="56"/>
    </row>
    <row r="47" spans="1:18" ht="29" customHeight="1" x14ac:dyDescent="0.2">
      <c r="A47" s="106" t="s">
        <v>125</v>
      </c>
      <c r="B47" s="66"/>
      <c r="C47" s="92" cm="1">
        <f t="array" ref="C47">_xlfn.IFS(B6&lt;41,15675,B6&gt;40,(B6*522)+31351+(B5*522))</f>
        <v>78331</v>
      </c>
      <c r="D47" s="58"/>
      <c r="E47" s="20"/>
      <c r="F47" s="20"/>
      <c r="I47" s="58"/>
      <c r="J47" s="58"/>
      <c r="K47" s="58"/>
      <c r="L47" s="58"/>
      <c r="M47" s="58"/>
      <c r="N47" s="58"/>
      <c r="O47" s="58"/>
      <c r="P47" s="58"/>
      <c r="Q47" s="58"/>
      <c r="R47" s="56"/>
    </row>
    <row r="48" spans="1:18" ht="28.25" customHeight="1" x14ac:dyDescent="0.2">
      <c r="C48" s="29"/>
      <c r="D48" s="58"/>
      <c r="E48" s="20"/>
      <c r="F48" s="20"/>
      <c r="I48" s="58"/>
      <c r="J48" s="58"/>
      <c r="K48" s="58"/>
      <c r="L48" s="58"/>
      <c r="M48" s="58"/>
      <c r="N48" s="58"/>
      <c r="O48" s="58"/>
      <c r="P48" s="58"/>
      <c r="Q48" s="58"/>
      <c r="R48" s="56"/>
    </row>
    <row r="49" spans="1:18" ht="30" customHeight="1" x14ac:dyDescent="0.2">
      <c r="A49" s="42" t="s">
        <v>83</v>
      </c>
      <c r="B49" s="103"/>
      <c r="C49" s="47" t="s">
        <v>123</v>
      </c>
      <c r="D49" s="58"/>
      <c r="E49" s="20"/>
      <c r="F49" s="20"/>
      <c r="I49" s="58"/>
      <c r="J49" s="58"/>
      <c r="K49" s="58"/>
      <c r="L49" s="58"/>
      <c r="M49" s="58"/>
      <c r="N49" s="58"/>
      <c r="O49" s="58"/>
      <c r="P49" s="58"/>
      <c r="Q49" s="58"/>
      <c r="R49" s="56"/>
    </row>
    <row r="50" spans="1:18" ht="15" x14ac:dyDescent="0.2">
      <c r="A50" s="70" t="s">
        <v>115</v>
      </c>
      <c r="B50" s="48"/>
      <c r="C50" s="92">
        <f>B6*418</f>
        <v>33440</v>
      </c>
      <c r="D50" s="58"/>
      <c r="E50" s="20"/>
      <c r="F50" s="20"/>
      <c r="I50" s="58"/>
      <c r="J50" s="58"/>
      <c r="K50" s="58"/>
      <c r="L50" s="60"/>
      <c r="M50" s="58"/>
      <c r="N50" s="58"/>
      <c r="O50" s="58"/>
      <c r="P50" s="58"/>
      <c r="Q50" s="58"/>
      <c r="R50" s="56"/>
    </row>
    <row r="51" spans="1:18" ht="15" x14ac:dyDescent="0.2">
      <c r="A51" s="22" t="s">
        <v>116</v>
      </c>
      <c r="B51" s="48"/>
      <c r="C51" s="54"/>
      <c r="D51" s="58"/>
      <c r="E51" s="58"/>
      <c r="F51" s="58"/>
      <c r="G51" s="58"/>
      <c r="H51" s="58"/>
      <c r="I51" s="58"/>
      <c r="J51" s="58"/>
      <c r="K51" s="58"/>
      <c r="L51" s="60"/>
      <c r="M51" s="58"/>
      <c r="N51" s="58"/>
      <c r="O51" s="58"/>
      <c r="P51" s="58"/>
      <c r="Q51" s="58"/>
      <c r="R51" s="56"/>
    </row>
    <row r="52" spans="1:18" ht="26.5" customHeight="1" x14ac:dyDescent="0.2">
      <c r="A52" s="46" t="s">
        <v>117</v>
      </c>
      <c r="B52" s="104"/>
      <c r="C52" s="55">
        <f>SUM(C50:C51)</f>
        <v>33440</v>
      </c>
      <c r="D52" s="58"/>
      <c r="F52" s="20"/>
      <c r="I52" s="58"/>
      <c r="J52" s="58"/>
      <c r="K52" s="58"/>
      <c r="L52" s="58"/>
      <c r="M52" s="58"/>
      <c r="N52" s="58"/>
      <c r="O52" s="58"/>
      <c r="P52" s="58"/>
      <c r="Q52" s="58"/>
      <c r="R52" s="56"/>
    </row>
    <row r="53" spans="1:18" ht="15" x14ac:dyDescent="0.2">
      <c r="D53" s="58"/>
      <c r="F53" s="20"/>
      <c r="I53" s="58"/>
      <c r="J53" s="58"/>
      <c r="K53" s="58"/>
      <c r="L53" s="58"/>
      <c r="M53" s="58"/>
      <c r="N53" s="58"/>
      <c r="O53" s="58"/>
      <c r="P53" s="58"/>
      <c r="Q53" s="58"/>
      <c r="R53" s="56"/>
    </row>
    <row r="54" spans="1:18" ht="29.5" customHeight="1" thickBot="1" x14ac:dyDescent="0.25">
      <c r="A54" s="98" t="s">
        <v>118</v>
      </c>
      <c r="B54" s="98"/>
      <c r="C54" s="105" t="s">
        <v>123</v>
      </c>
      <c r="D54" s="96"/>
      <c r="F54" s="20"/>
      <c r="I54" s="58"/>
      <c r="J54" s="58"/>
      <c r="K54" s="58"/>
      <c r="L54" s="58"/>
      <c r="M54" s="58"/>
      <c r="N54" s="58"/>
      <c r="O54" s="58"/>
      <c r="P54" s="58"/>
      <c r="Q54" s="58"/>
      <c r="R54" s="56"/>
    </row>
    <row r="55" spans="1:18" s="29" customFormat="1" ht="17" thickBot="1" x14ac:dyDescent="0.25">
      <c r="A55" s="106" t="s">
        <v>119</v>
      </c>
      <c r="B55" s="66"/>
      <c r="C55" s="119">
        <f>750*B6</f>
        <v>60000</v>
      </c>
      <c r="D55" s="93"/>
      <c r="I55" s="94"/>
      <c r="J55" s="94"/>
      <c r="K55" s="94"/>
      <c r="L55" s="94"/>
      <c r="M55" s="94"/>
      <c r="N55" s="94"/>
      <c r="O55" s="94"/>
      <c r="P55" s="94"/>
      <c r="Q55" s="94"/>
      <c r="R55" s="56"/>
    </row>
    <row r="56" spans="1:18" s="29" customFormat="1" ht="17" thickBot="1" x14ac:dyDescent="0.25">
      <c r="A56" s="106" t="s">
        <v>120</v>
      </c>
      <c r="B56" s="66"/>
      <c r="C56" s="119">
        <f>90*B6</f>
        <v>7200</v>
      </c>
      <c r="D56" s="95"/>
      <c r="I56" s="94"/>
      <c r="J56" s="94"/>
      <c r="K56" s="94"/>
      <c r="L56" s="94"/>
      <c r="M56" s="94"/>
      <c r="N56" s="94"/>
      <c r="O56" s="94"/>
      <c r="P56" s="94"/>
      <c r="Q56" s="94"/>
      <c r="R56" s="56"/>
    </row>
    <row r="57" spans="1:18" s="29" customFormat="1" ht="18" thickTop="1" thickBot="1" x14ac:dyDescent="0.25">
      <c r="A57" s="106" t="s">
        <v>121</v>
      </c>
      <c r="B57" s="66"/>
      <c r="C57" s="69">
        <f>125*B6</f>
        <v>10000</v>
      </c>
      <c r="D57" s="93"/>
      <c r="I57" s="94"/>
      <c r="J57" s="94"/>
      <c r="K57" s="94"/>
      <c r="L57" s="94"/>
      <c r="M57" s="94"/>
      <c r="N57" s="94"/>
      <c r="O57" s="94"/>
      <c r="P57" s="94"/>
      <c r="Q57" s="94"/>
      <c r="R57" s="56"/>
    </row>
    <row r="58" spans="1:18" s="29" customFormat="1" ht="17" thickBot="1" x14ac:dyDescent="0.25">
      <c r="A58" s="106" t="s">
        <v>112</v>
      </c>
      <c r="B58" s="66"/>
      <c r="C58" s="69">
        <f>175*B6</f>
        <v>14000</v>
      </c>
      <c r="D58" s="93"/>
      <c r="I58" s="94"/>
      <c r="J58" s="94"/>
      <c r="K58" s="94"/>
      <c r="L58" s="94"/>
      <c r="M58" s="94"/>
      <c r="N58" s="94"/>
      <c r="O58" s="94"/>
      <c r="P58" s="94"/>
      <c r="Q58" s="94"/>
      <c r="R58" s="56"/>
    </row>
    <row r="59" spans="1:18" s="29" customFormat="1" ht="17" thickBot="1" x14ac:dyDescent="0.25">
      <c r="A59" s="106" t="s">
        <v>116</v>
      </c>
      <c r="B59" s="66"/>
      <c r="C59" s="69"/>
      <c r="D59" s="93"/>
      <c r="I59" s="94"/>
      <c r="J59" s="94"/>
      <c r="K59" s="94"/>
      <c r="L59" s="94"/>
      <c r="M59" s="94"/>
      <c r="N59" s="94"/>
      <c r="O59" s="94"/>
      <c r="P59" s="94"/>
      <c r="Q59" s="94"/>
      <c r="R59" s="56"/>
    </row>
    <row r="60" spans="1:18" s="29" customFormat="1" ht="27.75" customHeight="1" thickBot="1" x14ac:dyDescent="0.25">
      <c r="A60" s="107" t="s">
        <v>122</v>
      </c>
      <c r="B60" s="104"/>
      <c r="C60" s="55">
        <f>SUM(C55:C59)</f>
        <v>91200</v>
      </c>
      <c r="D60" s="93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</row>
    <row r="61" spans="1:18" s="29" customFormat="1" ht="29.75" customHeight="1" thickBot="1" x14ac:dyDescent="0.25">
      <c r="A61" s="125" t="s">
        <v>125</v>
      </c>
      <c r="B61" s="92"/>
      <c r="C61" s="31">
        <f>0.07*(C29+C31+C32)</f>
        <v>94641.33</v>
      </c>
      <c r="D61" s="93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</row>
    <row r="62" spans="1:18" ht="16" thickBot="1" x14ac:dyDescent="0.25">
      <c r="A62" s="44"/>
      <c r="B62" s="108"/>
      <c r="C62" s="110"/>
      <c r="D62" s="97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</row>
    <row r="63" spans="1:18" ht="17" thickBot="1" x14ac:dyDescent="0.25">
      <c r="A63" s="121" t="s">
        <v>124</v>
      </c>
      <c r="B63" s="122"/>
      <c r="C63" s="123">
        <f>C60+C52+C46+C36+C26</f>
        <v>2115519.627808</v>
      </c>
      <c r="D63" s="96"/>
    </row>
    <row r="64" spans="1:18" ht="17" thickBot="1" x14ac:dyDescent="0.25">
      <c r="A64" s="44"/>
      <c r="B64" s="56"/>
      <c r="C64" s="120"/>
      <c r="D64" s="96"/>
    </row>
    <row r="65" spans="1:3" x14ac:dyDescent="0.2">
      <c r="A65" s="115"/>
      <c r="B65" s="109"/>
      <c r="C65" s="110"/>
    </row>
    <row r="66" spans="1:3" x14ac:dyDescent="0.2">
      <c r="A66" s="115"/>
      <c r="B66" s="56"/>
      <c r="C66" s="110"/>
    </row>
    <row r="67" spans="1:3" x14ac:dyDescent="0.2">
      <c r="A67" s="56"/>
      <c r="B67" s="109"/>
      <c r="C67" s="110"/>
    </row>
    <row r="68" spans="1:3" x14ac:dyDescent="0.2">
      <c r="A68" s="44"/>
      <c r="B68" s="111"/>
      <c r="C68" s="110"/>
    </row>
    <row r="69" spans="1:3" x14ac:dyDescent="0.2">
      <c r="A69" s="56"/>
      <c r="B69" s="112"/>
      <c r="C69" s="110"/>
    </row>
    <row r="70" spans="1:3" x14ac:dyDescent="0.2">
      <c r="A70" s="113"/>
      <c r="B70" s="114"/>
      <c r="C70" s="110"/>
    </row>
    <row r="71" spans="1:3" x14ac:dyDescent="0.2">
      <c r="A71" s="115"/>
      <c r="B71" s="112"/>
      <c r="C71" s="110"/>
    </row>
    <row r="72" spans="1:3" x14ac:dyDescent="0.2">
      <c r="A72" s="113"/>
      <c r="B72" s="111"/>
      <c r="C72" s="110"/>
    </row>
    <row r="73" spans="1:3" x14ac:dyDescent="0.2">
      <c r="A73" s="44"/>
      <c r="B73" s="109"/>
      <c r="C73" s="110"/>
    </row>
    <row r="74" spans="1:3" x14ac:dyDescent="0.2">
      <c r="A74" s="113"/>
      <c r="B74" s="116"/>
      <c r="C74" s="110"/>
    </row>
    <row r="75" spans="1:3" x14ac:dyDescent="0.2">
      <c r="A75" s="115"/>
      <c r="B75" s="56"/>
      <c r="C75" s="110"/>
    </row>
    <row r="76" spans="1:3" x14ac:dyDescent="0.2">
      <c r="A76" s="44"/>
      <c r="B76" s="117"/>
      <c r="C76" s="110"/>
    </row>
    <row r="77" spans="1:3" x14ac:dyDescent="0.2">
      <c r="A77" s="115"/>
      <c r="B77" s="118"/>
      <c r="C77" s="110"/>
    </row>
    <row r="78" spans="1:3" x14ac:dyDescent="0.2">
      <c r="A78" s="44"/>
      <c r="B78" s="117"/>
      <c r="C78" s="110"/>
    </row>
    <row r="79" spans="1:3" x14ac:dyDescent="0.2">
      <c r="A79" s="115"/>
      <c r="B79" s="56"/>
      <c r="C79" s="110"/>
    </row>
    <row r="80" spans="1:3" x14ac:dyDescent="0.2">
      <c r="A80" s="44"/>
      <c r="B80" s="117"/>
      <c r="C80" s="110"/>
    </row>
    <row r="81" spans="1:3" x14ac:dyDescent="0.2">
      <c r="A81" s="115"/>
      <c r="B81" s="56"/>
      <c r="C81" s="110"/>
    </row>
    <row r="82" spans="1:3" x14ac:dyDescent="0.2">
      <c r="A82" s="115"/>
      <c r="B82" s="56"/>
      <c r="C82" s="110"/>
    </row>
  </sheetData>
  <sheetProtection algorithmName="SHA-512" hashValue="YQ+6ZrZwi/2R9OokPZxbq4j2twTYEl0caBbfsfD0bbmU0YaoVj/jIiP8o59d6KP6fAbTLJuSJi3vAeyw777fhA==" saltValue="eeXcVZNYWRAx5mlCsJcAQg==" spinCount="100000" sheet="1" selectLockedCells="1"/>
  <mergeCells count="1">
    <mergeCell ref="A2:B2"/>
  </mergeCells>
  <pageMargins left="0.7" right="0.7" top="0.75" bottom="0.75" header="0.3" footer="0.3"/>
  <pageSetup scale="56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3588A16-48C7-4DA0-9780-EF41F0879FF8}">
          <x14:formula1>
            <xm:f>'Annexe IV'!$A$4:$A$27</xm:f>
          </x14:formula1>
          <xm:sqref>B7</xm:sqref>
        </x14:dataValidation>
        <x14:dataValidation type="list" allowBlank="1" showInputMessage="1" showErrorMessage="1" xr:uid="{0F1F1629-C729-4635-9AC9-392F496587BF}">
          <x14:formula1>
            <xm:f>'Menu déroulant'!$A$1:$A$2</xm:f>
          </x14:formula1>
          <xm:sqref>B8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67EE0-FDC3-4735-88C4-5F94069A950E}">
  <dimension ref="A1:R60"/>
  <sheetViews>
    <sheetView workbookViewId="0">
      <selection activeCell="B4" sqref="B4"/>
    </sheetView>
  </sheetViews>
  <sheetFormatPr baseColWidth="10" defaultColWidth="11.5" defaultRowHeight="14" x14ac:dyDescent="0.2"/>
  <cols>
    <col min="1" max="1" width="53.5" style="21" customWidth="1"/>
    <col min="2" max="2" width="42.5" style="20" customWidth="1"/>
    <col min="3" max="3" width="26.33203125" style="23" customWidth="1"/>
    <col min="4" max="4" width="11.5" style="29"/>
    <col min="5" max="5" width="28.6640625" style="29" bestFit="1" customWidth="1"/>
    <col min="6" max="6" width="18.83203125" style="29" customWidth="1"/>
    <col min="7" max="8" width="13.33203125" style="20" bestFit="1" customWidth="1"/>
    <col min="9" max="16384" width="11.5" style="20"/>
  </cols>
  <sheetData>
    <row r="1" spans="1:18" ht="56.5" customHeight="1" x14ac:dyDescent="0.2">
      <c r="A1" s="40" t="s">
        <v>54</v>
      </c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s="28" customFormat="1" ht="61.25" customHeight="1" x14ac:dyDescent="0.2">
      <c r="A2" s="131" t="s">
        <v>43</v>
      </c>
      <c r="B2" s="131"/>
      <c r="C2" s="30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</row>
    <row r="3" spans="1:18" x14ac:dyDescent="0.2"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</row>
    <row r="4" spans="1:18" x14ac:dyDescent="0.2">
      <c r="A4" s="26" t="s">
        <v>110</v>
      </c>
      <c r="B4" s="34">
        <v>16</v>
      </c>
    </row>
    <row r="5" spans="1:18" ht="15" x14ac:dyDescent="0.2">
      <c r="A5" s="26" t="s">
        <v>111</v>
      </c>
      <c r="B5" s="34">
        <v>10</v>
      </c>
      <c r="D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6"/>
    </row>
    <row r="6" spans="1:18" ht="15" x14ac:dyDescent="0.2">
      <c r="A6" s="26" t="s">
        <v>22</v>
      </c>
      <c r="B6" s="130">
        <f>B4+B5</f>
        <v>26</v>
      </c>
      <c r="D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6"/>
    </row>
    <row r="7" spans="1:18" ht="18" hidden="1" customHeight="1" x14ac:dyDescent="0.2">
      <c r="A7" s="25" t="s">
        <v>23</v>
      </c>
      <c r="B7" s="31">
        <f>VLOOKUP('Calcul env. achat-construction'!B6,'Annexe II'!A4:B83,2,FALSE)</f>
        <v>1181052</v>
      </c>
      <c r="C7" s="29"/>
      <c r="D7" s="58"/>
      <c r="H7" s="58"/>
      <c r="I7" s="58"/>
      <c r="J7" s="58"/>
      <c r="K7" s="58"/>
      <c r="L7" s="58"/>
      <c r="M7" s="58"/>
      <c r="N7" s="58"/>
      <c r="O7" s="59"/>
      <c r="P7" s="58"/>
      <c r="Q7" s="58"/>
      <c r="R7" s="56"/>
    </row>
    <row r="8" spans="1:18" ht="17.5" hidden="1" customHeight="1" x14ac:dyDescent="0.2">
      <c r="A8" s="25" t="s">
        <v>24</v>
      </c>
      <c r="B8" s="31">
        <f>B5*4670</f>
        <v>46700</v>
      </c>
      <c r="C8" s="29"/>
      <c r="D8" s="58"/>
      <c r="H8" s="58"/>
      <c r="I8" s="58"/>
      <c r="J8" s="58"/>
      <c r="K8" s="58"/>
      <c r="L8" s="60"/>
      <c r="M8" s="58"/>
      <c r="N8" s="58"/>
      <c r="O8" s="58"/>
      <c r="P8" s="58"/>
      <c r="Q8" s="58"/>
      <c r="R8" s="56"/>
    </row>
    <row r="9" spans="1:18" ht="23" hidden="1" customHeight="1" x14ac:dyDescent="0.2">
      <c r="A9" s="25" t="s">
        <v>44</v>
      </c>
      <c r="B9" s="31">
        <f>VLOOKUP(B6,'Annexe III'!A4:B83,2,FALSE)</f>
        <v>72245</v>
      </c>
      <c r="C9" s="29"/>
      <c r="D9" s="58"/>
      <c r="H9" s="58"/>
      <c r="I9" s="58"/>
      <c r="J9" s="58"/>
      <c r="K9" s="58"/>
      <c r="L9" s="60"/>
      <c r="M9" s="58"/>
      <c r="N9" s="58"/>
      <c r="O9" s="58"/>
      <c r="P9" s="58"/>
      <c r="Q9" s="58"/>
      <c r="R9" s="56"/>
    </row>
    <row r="10" spans="1:18" ht="14" hidden="1" customHeight="1" x14ac:dyDescent="0.2">
      <c r="A10" s="24" t="s">
        <v>41</v>
      </c>
      <c r="B10" s="31" t="e">
        <f>IF(#REF!="oui",B7+B8+B9,B7+B8)</f>
        <v>#REF!</v>
      </c>
      <c r="C10" s="29"/>
      <c r="D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6"/>
    </row>
    <row r="11" spans="1:18" ht="14" hidden="1" customHeight="1" x14ac:dyDescent="0.2">
      <c r="A11" s="24"/>
      <c r="B11" s="32"/>
      <c r="C11" s="29"/>
      <c r="D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6"/>
    </row>
    <row r="12" spans="1:18" ht="15" hidden="1" customHeight="1" x14ac:dyDescent="0.2">
      <c r="A12" s="24" t="s">
        <v>42</v>
      </c>
      <c r="B12" s="39" t="e">
        <f>VLOOKUP(#REF!,'Annexe IV'!A4:B27,2,FALSE)</f>
        <v>#REF!</v>
      </c>
      <c r="C12" s="29"/>
      <c r="D12" s="58"/>
      <c r="E12" s="20"/>
      <c r="F12" s="20"/>
      <c r="H12" s="58"/>
      <c r="I12" s="58"/>
      <c r="J12" s="58"/>
      <c r="K12" s="58"/>
      <c r="L12" s="58"/>
      <c r="M12" s="58"/>
      <c r="N12" s="58"/>
      <c r="O12" s="58"/>
      <c r="P12" s="58"/>
      <c r="Q12" s="60"/>
      <c r="R12" s="56"/>
    </row>
    <row r="13" spans="1:18" ht="15" customHeight="1" x14ac:dyDescent="0.2">
      <c r="A13" s="24"/>
      <c r="B13" s="39"/>
      <c r="C13" s="29"/>
      <c r="D13" s="58"/>
      <c r="E13" s="20"/>
      <c r="F13" s="20"/>
      <c r="H13" s="58"/>
      <c r="I13" s="58"/>
      <c r="J13" s="58"/>
      <c r="K13" s="58"/>
      <c r="L13" s="58"/>
      <c r="M13" s="58"/>
      <c r="N13" s="58"/>
      <c r="O13" s="58"/>
      <c r="P13" s="58"/>
      <c r="Q13" s="60"/>
      <c r="R13" s="56"/>
    </row>
    <row r="14" spans="1:18" ht="15" customHeight="1" x14ac:dyDescent="0.2">
      <c r="A14" s="42" t="s">
        <v>54</v>
      </c>
      <c r="B14" s="103"/>
      <c r="C14" s="47" t="s">
        <v>123</v>
      </c>
      <c r="D14" s="58"/>
      <c r="E14" s="20"/>
      <c r="F14" s="20"/>
      <c r="H14" s="58"/>
      <c r="I14" s="58"/>
      <c r="J14" s="58"/>
      <c r="K14" s="58"/>
      <c r="L14" s="58"/>
      <c r="M14" s="58"/>
      <c r="N14" s="58"/>
      <c r="O14" s="58"/>
      <c r="P14" s="58"/>
      <c r="Q14" s="60"/>
      <c r="R14" s="56"/>
    </row>
    <row r="15" spans="1:18" ht="15" customHeight="1" x14ac:dyDescent="0.2">
      <c r="A15" s="24" t="s">
        <v>52</v>
      </c>
      <c r="B15" s="48"/>
      <c r="C15" s="43">
        <f>C32*0.09</f>
        <v>19272.490560000002</v>
      </c>
      <c r="D15" s="58"/>
      <c r="E15" s="20"/>
      <c r="F15" s="20"/>
      <c r="H15" s="58"/>
      <c r="I15" s="58"/>
      <c r="J15" s="58"/>
      <c r="K15" s="58"/>
      <c r="L15" s="58"/>
      <c r="M15" s="58"/>
      <c r="N15" s="58"/>
      <c r="O15" s="58"/>
      <c r="P15" s="58"/>
      <c r="Q15" s="60"/>
      <c r="R15" s="56"/>
    </row>
    <row r="16" spans="1:18" ht="15" customHeight="1" x14ac:dyDescent="0.2">
      <c r="A16" s="24" t="s">
        <v>53</v>
      </c>
      <c r="B16" s="48"/>
      <c r="C16" s="43">
        <f>C32*0.05</f>
        <v>10706.939200000001</v>
      </c>
      <c r="D16" s="58"/>
      <c r="E16" s="20"/>
      <c r="F16" s="20"/>
      <c r="H16" s="58"/>
      <c r="I16" s="58"/>
      <c r="J16" s="58"/>
      <c r="K16" s="58"/>
      <c r="L16" s="58"/>
      <c r="M16" s="58"/>
      <c r="N16" s="58"/>
      <c r="O16" s="58"/>
      <c r="P16" s="58"/>
      <c r="Q16" s="60"/>
      <c r="R16" s="56"/>
    </row>
    <row r="17" spans="1:18" ht="15" customHeight="1" x14ac:dyDescent="0.2">
      <c r="A17" s="24" t="s">
        <v>55</v>
      </c>
      <c r="B17" s="48"/>
      <c r="C17" s="43">
        <v>5000</v>
      </c>
      <c r="D17" s="58"/>
      <c r="E17" s="20"/>
      <c r="F17" s="20"/>
      <c r="H17" s="58"/>
      <c r="I17" s="58"/>
      <c r="J17" s="58"/>
      <c r="K17" s="58"/>
      <c r="L17" s="58"/>
      <c r="M17" s="58"/>
      <c r="N17" s="58"/>
      <c r="O17" s="58"/>
      <c r="P17" s="58"/>
      <c r="Q17" s="60"/>
      <c r="R17" s="56"/>
    </row>
    <row r="18" spans="1:18" ht="15" customHeight="1" x14ac:dyDescent="0.2">
      <c r="A18" s="24" t="s">
        <v>56</v>
      </c>
      <c r="B18" s="48"/>
      <c r="C18" s="43">
        <v>0</v>
      </c>
      <c r="D18" s="58"/>
      <c r="E18" s="20"/>
      <c r="F18" s="20"/>
      <c r="H18" s="58"/>
      <c r="I18" s="58"/>
      <c r="J18" s="58"/>
      <c r="K18" s="58"/>
      <c r="L18" s="58"/>
      <c r="M18" s="58"/>
      <c r="N18" s="58"/>
      <c r="O18" s="58"/>
      <c r="P18" s="58"/>
      <c r="Q18" s="60"/>
      <c r="R18" s="56"/>
    </row>
    <row r="19" spans="1:18" ht="15" customHeight="1" x14ac:dyDescent="0.2">
      <c r="A19" s="24" t="s">
        <v>57</v>
      </c>
      <c r="B19" s="48"/>
      <c r="C19" s="43">
        <v>0</v>
      </c>
      <c r="D19" s="58"/>
      <c r="E19" s="20"/>
      <c r="F19" s="20"/>
      <c r="H19" s="58"/>
      <c r="I19" s="58"/>
      <c r="J19" s="58"/>
      <c r="K19" s="58"/>
      <c r="L19" s="58"/>
      <c r="M19" s="58"/>
      <c r="N19" s="58"/>
      <c r="O19" s="58"/>
      <c r="P19" s="58"/>
      <c r="Q19" s="60"/>
      <c r="R19" s="56"/>
    </row>
    <row r="20" spans="1:18" ht="15" customHeight="1" x14ac:dyDescent="0.2">
      <c r="A20" s="25" t="s">
        <v>58</v>
      </c>
      <c r="B20" s="48"/>
      <c r="C20" s="45">
        <v>2000</v>
      </c>
      <c r="D20" s="58"/>
      <c r="E20" s="20"/>
      <c r="F20" s="20"/>
      <c r="H20" s="58"/>
      <c r="I20" s="58"/>
      <c r="J20" s="58"/>
      <c r="K20" s="58"/>
      <c r="L20" s="58"/>
      <c r="M20" s="58"/>
      <c r="N20" s="58"/>
      <c r="O20" s="58"/>
      <c r="P20" s="58"/>
      <c r="Q20" s="60"/>
      <c r="R20" s="56"/>
    </row>
    <row r="21" spans="1:18" ht="15" customHeight="1" x14ac:dyDescent="0.2">
      <c r="A21" s="25" t="s">
        <v>59</v>
      </c>
      <c r="B21" s="48"/>
      <c r="C21" s="45">
        <v>0</v>
      </c>
      <c r="D21" s="58"/>
      <c r="E21" s="20"/>
      <c r="F21" s="20"/>
      <c r="H21" s="58"/>
      <c r="I21" s="58"/>
      <c r="J21" s="58"/>
      <c r="K21" s="58"/>
      <c r="L21" s="58"/>
      <c r="M21" s="58"/>
      <c r="N21" s="58"/>
      <c r="O21" s="58"/>
      <c r="P21" s="58"/>
      <c r="Q21" s="60"/>
      <c r="R21" s="56"/>
    </row>
    <row r="22" spans="1:18" ht="15" customHeight="1" x14ac:dyDescent="0.2">
      <c r="A22" s="24" t="s">
        <v>60</v>
      </c>
      <c r="B22" s="48"/>
      <c r="C22" s="43">
        <f>SUM(C15:C21)</f>
        <v>36979.429759999999</v>
      </c>
      <c r="D22" s="58"/>
      <c r="E22" s="20"/>
      <c r="F22" s="20"/>
      <c r="H22" s="58"/>
      <c r="I22" s="58"/>
      <c r="J22" s="58"/>
      <c r="K22" s="58"/>
      <c r="L22" s="58"/>
      <c r="M22" s="58"/>
      <c r="N22" s="58"/>
      <c r="O22" s="58"/>
      <c r="P22" s="58"/>
      <c r="Q22" s="60"/>
      <c r="R22" s="56"/>
    </row>
    <row r="23" spans="1:18" ht="15" customHeight="1" x14ac:dyDescent="0.2">
      <c r="A23" s="24" t="s">
        <v>40</v>
      </c>
      <c r="B23" s="48"/>
      <c r="C23" s="43">
        <v>0</v>
      </c>
      <c r="D23" s="58"/>
      <c r="E23" s="20"/>
      <c r="F23" s="20"/>
      <c r="H23" s="58"/>
      <c r="I23" s="58"/>
      <c r="J23" s="58"/>
      <c r="K23" s="58"/>
      <c r="L23" s="58"/>
      <c r="M23" s="58"/>
      <c r="N23" s="58"/>
      <c r="O23" s="58"/>
      <c r="P23" s="58"/>
      <c r="Q23" s="60"/>
      <c r="R23" s="56"/>
    </row>
    <row r="24" spans="1:18" ht="15" customHeight="1" x14ac:dyDescent="0.2">
      <c r="A24" s="101" t="s">
        <v>61</v>
      </c>
      <c r="B24" s="104"/>
      <c r="C24" s="102">
        <f>C22+C23</f>
        <v>36979.429759999999</v>
      </c>
      <c r="D24" s="58"/>
      <c r="E24" s="20"/>
      <c r="F24" s="20"/>
      <c r="H24" s="58"/>
      <c r="I24" s="58"/>
      <c r="J24" s="58"/>
      <c r="K24" s="58"/>
      <c r="L24" s="58"/>
      <c r="M24" s="58"/>
      <c r="N24" s="58"/>
      <c r="O24" s="58"/>
      <c r="P24" s="58"/>
      <c r="Q24" s="60"/>
      <c r="R24" s="56"/>
    </row>
    <row r="25" spans="1:18" ht="15" customHeight="1" x14ac:dyDescent="0.2">
      <c r="A25" s="44"/>
      <c r="B25" s="126"/>
      <c r="C25" s="56"/>
      <c r="D25" s="58"/>
      <c r="E25" s="20"/>
      <c r="F25" s="20"/>
      <c r="H25" s="58"/>
      <c r="I25" s="58"/>
      <c r="J25" s="58"/>
      <c r="K25" s="58"/>
      <c r="L25" s="58"/>
      <c r="M25" s="58"/>
      <c r="N25" s="58"/>
      <c r="O25" s="58"/>
      <c r="P25" s="58"/>
      <c r="Q25" s="60"/>
      <c r="R25" s="56"/>
    </row>
    <row r="26" spans="1:18" ht="26" customHeight="1" x14ac:dyDescent="0.2">
      <c r="A26" s="127" t="s">
        <v>63</v>
      </c>
      <c r="B26" s="128" t="s">
        <v>62</v>
      </c>
      <c r="C26" s="128" t="s">
        <v>123</v>
      </c>
      <c r="D26" s="58"/>
      <c r="E26" s="20"/>
      <c r="F26" s="20"/>
      <c r="H26" s="58"/>
      <c r="I26" s="58"/>
      <c r="J26" s="58"/>
      <c r="K26" s="58"/>
      <c r="L26" s="58"/>
      <c r="M26" s="58"/>
      <c r="N26" s="58"/>
      <c r="O26" s="58"/>
      <c r="P26" s="58"/>
      <c r="Q26" s="60"/>
      <c r="R26" s="56"/>
    </row>
    <row r="27" spans="1:18" ht="45.75" customHeight="1" x14ac:dyDescent="0.2">
      <c r="A27" s="49" t="s">
        <v>64</v>
      </c>
      <c r="B27" s="65" t="s">
        <v>65</v>
      </c>
      <c r="C27" s="32">
        <f>((B4*2.75)*1945)+((B5*4)*1945)</f>
        <v>163380</v>
      </c>
      <c r="D27" s="58"/>
      <c r="E27" s="124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60"/>
      <c r="R27" s="56"/>
    </row>
    <row r="28" spans="1:18" ht="30" customHeight="1" x14ac:dyDescent="0.2">
      <c r="A28" s="51" t="s">
        <v>68</v>
      </c>
      <c r="B28" s="50"/>
      <c r="C28" s="63">
        <f>B5*4670</f>
        <v>46700</v>
      </c>
      <c r="D28" s="56"/>
      <c r="E28" s="56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9"/>
      <c r="R28" s="56"/>
    </row>
    <row r="29" spans="1:18" ht="30" customHeight="1" x14ac:dyDescent="0.2">
      <c r="A29" s="25" t="s">
        <v>70</v>
      </c>
      <c r="B29" s="45"/>
      <c r="C29" s="63">
        <v>2000</v>
      </c>
      <c r="D29" s="56"/>
      <c r="E29" s="56"/>
      <c r="F29" s="58"/>
      <c r="G29" s="58"/>
      <c r="H29" s="58"/>
      <c r="I29" s="56"/>
      <c r="J29" s="56"/>
      <c r="K29" s="56"/>
      <c r="L29" s="56"/>
      <c r="M29" s="58"/>
      <c r="N29" s="58"/>
      <c r="O29" s="58"/>
      <c r="P29" s="58"/>
      <c r="Q29" s="58"/>
      <c r="R29" s="56"/>
    </row>
    <row r="30" spans="1:18" ht="30" customHeight="1" x14ac:dyDescent="0.2">
      <c r="A30" s="50" t="s">
        <v>71</v>
      </c>
      <c r="B30" s="50"/>
      <c r="C30" s="63">
        <f>((C27+C28)/1000)*9.8</f>
        <v>2058.7840000000001</v>
      </c>
      <c r="D30" s="56"/>
      <c r="E30" s="56"/>
      <c r="F30" s="58"/>
      <c r="G30" s="58"/>
      <c r="H30" s="58"/>
      <c r="I30" s="58"/>
      <c r="J30" s="58"/>
      <c r="K30" s="58"/>
      <c r="L30" s="58"/>
      <c r="M30" s="58"/>
      <c r="N30" s="58"/>
      <c r="O30" s="60"/>
      <c r="P30" s="58"/>
      <c r="Q30" s="58"/>
      <c r="R30" s="56"/>
    </row>
    <row r="31" spans="1:18" ht="30" customHeight="1" x14ac:dyDescent="0.2">
      <c r="A31" s="50" t="s">
        <v>72</v>
      </c>
      <c r="B31" s="50"/>
      <c r="C31" s="63"/>
      <c r="D31" s="56"/>
      <c r="E31" s="56"/>
      <c r="F31" s="58"/>
      <c r="G31" s="58"/>
      <c r="H31" s="58"/>
      <c r="I31" s="58"/>
      <c r="J31" s="58"/>
      <c r="K31" s="58"/>
      <c r="L31" s="58"/>
      <c r="M31" s="58"/>
      <c r="N31" s="58"/>
      <c r="O31" s="60"/>
      <c r="P31" s="58"/>
      <c r="Q31" s="58"/>
      <c r="R31" s="56"/>
    </row>
    <row r="32" spans="1:18" ht="30" customHeight="1" x14ac:dyDescent="0.2">
      <c r="A32" s="52" t="s">
        <v>73</v>
      </c>
      <c r="B32" s="53"/>
      <c r="C32" s="64">
        <f>SUM(C27:C31)</f>
        <v>214138.78400000001</v>
      </c>
      <c r="D32" s="56"/>
      <c r="E32" s="56"/>
      <c r="F32" s="58"/>
      <c r="G32" s="58"/>
      <c r="H32" s="58"/>
      <c r="I32" s="58"/>
      <c r="J32" s="58"/>
      <c r="K32" s="58"/>
      <c r="L32" s="58"/>
      <c r="M32" s="58"/>
      <c r="N32" s="58"/>
      <c r="O32" s="60"/>
      <c r="P32" s="58"/>
      <c r="Q32" s="58"/>
      <c r="R32" s="56"/>
    </row>
    <row r="33" spans="1:18" ht="15" x14ac:dyDescent="0.2">
      <c r="A33" s="29"/>
      <c r="B33" s="29"/>
      <c r="C33" s="29"/>
      <c r="D33" s="56"/>
      <c r="E33" s="56"/>
      <c r="F33" s="58"/>
      <c r="G33" s="58"/>
      <c r="H33" s="58"/>
      <c r="I33" s="58"/>
      <c r="J33" s="58"/>
      <c r="K33" s="58"/>
      <c r="L33" s="58"/>
      <c r="M33" s="58"/>
      <c r="N33" s="58"/>
      <c r="O33" s="60"/>
      <c r="P33" s="58"/>
      <c r="Q33" s="58"/>
      <c r="R33" s="56"/>
    </row>
    <row r="34" spans="1:18" x14ac:dyDescent="0.2">
      <c r="A34" s="42" t="s">
        <v>74</v>
      </c>
      <c r="B34" s="103"/>
      <c r="C34" s="47" t="s">
        <v>123</v>
      </c>
    </row>
    <row r="35" spans="1:18" ht="17" thickBot="1" x14ac:dyDescent="0.25">
      <c r="A35" s="22" t="s">
        <v>75</v>
      </c>
      <c r="B35" s="48"/>
      <c r="C35" s="54">
        <f>(B5*'Calculs mobilier'!C3)+(B5*'Calculs mobilier'!C4)+(B4*'Calculs mobilier'!C6)+(B4/4*'Calculs mobilier'!C5)</f>
        <v>10020</v>
      </c>
      <c r="D35" s="96"/>
    </row>
    <row r="36" spans="1:18" x14ac:dyDescent="0.2">
      <c r="A36" s="22" t="s">
        <v>76</v>
      </c>
      <c r="B36" s="48"/>
      <c r="C36" s="54">
        <v>0</v>
      </c>
    </row>
    <row r="37" spans="1:18" x14ac:dyDescent="0.2">
      <c r="A37" s="22" t="s">
        <v>77</v>
      </c>
      <c r="B37" s="48"/>
      <c r="C37" s="54">
        <v>0</v>
      </c>
    </row>
    <row r="38" spans="1:18" x14ac:dyDescent="0.2">
      <c r="A38" s="22" t="s">
        <v>78</v>
      </c>
      <c r="B38" s="48"/>
      <c r="C38" s="54">
        <v>0</v>
      </c>
    </row>
    <row r="39" spans="1:18" x14ac:dyDescent="0.2">
      <c r="A39" s="22" t="s">
        <v>79</v>
      </c>
      <c r="B39" s="48"/>
      <c r="C39" s="54">
        <f>'Calculs mobilier'!D35</f>
        <v>0</v>
      </c>
    </row>
    <row r="40" spans="1:18" x14ac:dyDescent="0.2">
      <c r="A40" s="22" t="s">
        <v>80</v>
      </c>
      <c r="B40" s="48"/>
      <c r="C40" s="54">
        <f>'Calculs mobilier'!D38</f>
        <v>0</v>
      </c>
    </row>
    <row r="41" spans="1:18" x14ac:dyDescent="0.2">
      <c r="A41" s="22" t="s">
        <v>81</v>
      </c>
      <c r="B41" s="48"/>
      <c r="C41" s="54"/>
    </row>
    <row r="42" spans="1:18" x14ac:dyDescent="0.2">
      <c r="A42" s="46" t="s">
        <v>82</v>
      </c>
      <c r="B42" s="104"/>
      <c r="C42" s="55">
        <f>SUM(C35:C41)</f>
        <v>10020</v>
      </c>
    </row>
    <row r="43" spans="1:18" ht="30" x14ac:dyDescent="0.2">
      <c r="A43" s="106" t="s">
        <v>125</v>
      </c>
      <c r="B43" s="66"/>
      <c r="C43" s="92">
        <f>(522*B4)+((522+522)*B5)</f>
        <v>18792</v>
      </c>
    </row>
    <row r="44" spans="1:18" x14ac:dyDescent="0.2">
      <c r="A44" s="20"/>
      <c r="C44" s="20"/>
    </row>
    <row r="45" spans="1:18" x14ac:dyDescent="0.2">
      <c r="A45" s="42" t="s">
        <v>83</v>
      </c>
      <c r="B45" s="103"/>
      <c r="C45" s="47" t="s">
        <v>123</v>
      </c>
    </row>
    <row r="46" spans="1:18" x14ac:dyDescent="0.2">
      <c r="A46" s="70" t="s">
        <v>115</v>
      </c>
      <c r="B46" s="48"/>
      <c r="C46" s="92">
        <f>(B4+B5)*418</f>
        <v>10868</v>
      </c>
    </row>
    <row r="47" spans="1:18" x14ac:dyDescent="0.2">
      <c r="A47" s="22" t="s">
        <v>116</v>
      </c>
      <c r="B47" s="48"/>
      <c r="C47" s="54"/>
    </row>
    <row r="48" spans="1:18" x14ac:dyDescent="0.2">
      <c r="A48" s="46" t="s">
        <v>117</v>
      </c>
      <c r="B48" s="104"/>
      <c r="C48" s="55">
        <f>SUM(C46:C47)</f>
        <v>10868</v>
      </c>
    </row>
    <row r="49" spans="1:3" ht="30" x14ac:dyDescent="0.2">
      <c r="A49" s="125" t="s">
        <v>125</v>
      </c>
      <c r="B49" s="92"/>
      <c r="C49" s="31">
        <f>(B5+B4)*418</f>
        <v>10868</v>
      </c>
    </row>
    <row r="51" spans="1:3" x14ac:dyDescent="0.2">
      <c r="A51" s="98" t="s">
        <v>118</v>
      </c>
      <c r="B51" s="98"/>
      <c r="C51" s="105" t="s">
        <v>123</v>
      </c>
    </row>
    <row r="52" spans="1:3" ht="15" x14ac:dyDescent="0.2">
      <c r="A52" s="106" t="s">
        <v>119</v>
      </c>
      <c r="B52" s="66"/>
      <c r="C52" s="119">
        <f>C58*0.5</f>
        <v>7352.8000000000011</v>
      </c>
    </row>
    <row r="53" spans="1:3" ht="15" x14ac:dyDescent="0.2">
      <c r="A53" s="106" t="s">
        <v>120</v>
      </c>
      <c r="B53" s="66"/>
      <c r="C53" s="119">
        <f>C58*0.15</f>
        <v>2205.84</v>
      </c>
    </row>
    <row r="54" spans="1:3" ht="15" x14ac:dyDescent="0.2">
      <c r="A54" s="106" t="s">
        <v>121</v>
      </c>
      <c r="B54" s="66"/>
      <c r="C54" s="69">
        <f>C58*0.15</f>
        <v>2205.84</v>
      </c>
    </row>
    <row r="55" spans="1:3" ht="15" x14ac:dyDescent="0.2">
      <c r="A55" s="106" t="s">
        <v>112</v>
      </c>
      <c r="B55" s="66"/>
      <c r="C55" s="69">
        <f>C58*0.2</f>
        <v>2941.1200000000008</v>
      </c>
    </row>
    <row r="56" spans="1:3" ht="15" x14ac:dyDescent="0.2">
      <c r="A56" s="106" t="s">
        <v>116</v>
      </c>
      <c r="B56" s="66"/>
      <c r="C56" s="69"/>
    </row>
    <row r="57" spans="1:3" ht="15" x14ac:dyDescent="0.2">
      <c r="A57" s="107" t="s">
        <v>122</v>
      </c>
      <c r="B57" s="104"/>
      <c r="C57" s="55">
        <f>SUM(C52:C56)</f>
        <v>14705.600000000002</v>
      </c>
    </row>
    <row r="58" spans="1:3" ht="30" x14ac:dyDescent="0.2">
      <c r="A58" s="125" t="s">
        <v>125</v>
      </c>
      <c r="B58" s="92"/>
      <c r="C58" s="31">
        <f>(0.07*(C27+C28))</f>
        <v>14705.600000000002</v>
      </c>
    </row>
    <row r="59" spans="1:3" ht="15" thickBot="1" x14ac:dyDescent="0.25">
      <c r="A59" s="44"/>
      <c r="B59" s="108"/>
      <c r="C59" s="110"/>
    </row>
    <row r="60" spans="1:3" ht="15" thickBot="1" x14ac:dyDescent="0.25">
      <c r="A60" s="121" t="s">
        <v>124</v>
      </c>
      <c r="B60" s="122"/>
      <c r="C60" s="123">
        <f>C57+C48+C42+C32+C24</f>
        <v>286711.81376000005</v>
      </c>
    </row>
  </sheetData>
  <sheetProtection algorithmName="SHA-512" hashValue="7NpqmblUDiOG4PmI0gbyZufCri16zAWrTZL7k6LboASCtZCH6492hyYIBQ6qiLZ55nUPAMI0vkpJl0ZFcjcJ8Q==" saltValue="d0p2Oxw+6B58p5VEnboC2A==" spinCount="100000" sheet="1" objects="1" scenarios="1" selectLockedCells="1"/>
  <mergeCells count="1">
    <mergeCell ref="A2:B2"/>
  </mergeCell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066FD-7A2A-472E-B4CC-98537CFC8C05}">
  <dimension ref="A1:R85"/>
  <sheetViews>
    <sheetView zoomScale="80" zoomScaleNormal="80" workbookViewId="0">
      <selection activeCell="B8" sqref="B8"/>
    </sheetView>
  </sheetViews>
  <sheetFormatPr baseColWidth="10" defaultColWidth="11.5" defaultRowHeight="14" x14ac:dyDescent="0.2"/>
  <cols>
    <col min="1" max="1" width="53.5" style="21" customWidth="1"/>
    <col min="2" max="2" width="42.5" style="20" customWidth="1"/>
    <col min="3" max="3" width="26.33203125" style="23" customWidth="1"/>
    <col min="4" max="4" width="11.5" style="29"/>
    <col min="5" max="5" width="28.6640625" style="29" bestFit="1" customWidth="1"/>
    <col min="6" max="6" width="18.83203125" style="29" customWidth="1"/>
    <col min="7" max="8" width="13.33203125" style="20" bestFit="1" customWidth="1"/>
    <col min="9" max="16384" width="11.5" style="20"/>
  </cols>
  <sheetData>
    <row r="1" spans="1:18" ht="56.5" customHeight="1" x14ac:dyDescent="0.2">
      <c r="A1" s="40" t="s">
        <v>54</v>
      </c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s="28" customFormat="1" ht="61.25" customHeight="1" x14ac:dyDescent="0.2">
      <c r="A2" s="131" t="s">
        <v>43</v>
      </c>
      <c r="B2" s="131"/>
      <c r="C2" s="30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</row>
    <row r="3" spans="1:18" x14ac:dyDescent="0.2"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</row>
    <row r="4" spans="1:18" x14ac:dyDescent="0.2">
      <c r="A4" s="26" t="s">
        <v>110</v>
      </c>
      <c r="B4" s="34">
        <v>70</v>
      </c>
    </row>
    <row r="5" spans="1:18" ht="15" x14ac:dyDescent="0.2">
      <c r="A5" s="26" t="s">
        <v>111</v>
      </c>
      <c r="B5" s="34">
        <v>10</v>
      </c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6"/>
    </row>
    <row r="6" spans="1:18" ht="15" x14ac:dyDescent="0.2">
      <c r="A6" s="26" t="s">
        <v>22</v>
      </c>
      <c r="B6" s="130">
        <f>B4+B5</f>
        <v>80</v>
      </c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6"/>
    </row>
    <row r="7" spans="1:18" ht="15" x14ac:dyDescent="0.2">
      <c r="A7" s="26" t="s">
        <v>25</v>
      </c>
      <c r="B7" s="35" t="s">
        <v>11</v>
      </c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9"/>
      <c r="P7" s="58"/>
      <c r="Q7" s="58"/>
      <c r="R7" s="56"/>
    </row>
    <row r="8" spans="1:18" ht="15" x14ac:dyDescent="0.2">
      <c r="A8" s="26" t="s">
        <v>44</v>
      </c>
      <c r="B8" s="41" t="s">
        <v>50</v>
      </c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9"/>
      <c r="P8" s="58"/>
      <c r="Q8" s="58"/>
      <c r="R8" s="56"/>
    </row>
    <row r="9" spans="1:18" ht="15" x14ac:dyDescent="0.2">
      <c r="A9" s="26" t="s">
        <v>126</v>
      </c>
      <c r="B9" s="34">
        <v>25</v>
      </c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9"/>
      <c r="P9" s="58"/>
      <c r="Q9" s="58"/>
      <c r="R9" s="56"/>
    </row>
    <row r="10" spans="1:18" ht="18" hidden="1" customHeight="1" x14ac:dyDescent="0.2">
      <c r="A10" s="25" t="s">
        <v>23</v>
      </c>
      <c r="B10" s="31">
        <f>VLOOKUP('Calcul env. locatif'!B6,'Annexe II'!A4:B83,2,FALSE)*B14</f>
        <v>1322778.2400000002</v>
      </c>
      <c r="C10" s="29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9"/>
      <c r="P10" s="58"/>
      <c r="Q10" s="58"/>
      <c r="R10" s="56"/>
    </row>
    <row r="11" spans="1:18" ht="17.5" hidden="1" customHeight="1" x14ac:dyDescent="0.2">
      <c r="A11" s="25" t="s">
        <v>24</v>
      </c>
      <c r="B11" s="31">
        <f>B5*4670*B14</f>
        <v>52304.000000000007</v>
      </c>
      <c r="C11" s="29"/>
      <c r="D11" s="58"/>
      <c r="E11" s="58"/>
      <c r="F11" s="58"/>
      <c r="G11" s="58"/>
      <c r="H11" s="58"/>
      <c r="I11" s="58"/>
      <c r="J11" s="58"/>
      <c r="K11" s="58"/>
      <c r="L11" s="60"/>
      <c r="M11" s="58"/>
      <c r="N11" s="58"/>
      <c r="O11" s="58"/>
      <c r="P11" s="58"/>
      <c r="Q11" s="58"/>
      <c r="R11" s="56"/>
    </row>
    <row r="12" spans="1:18" ht="23" hidden="1" customHeight="1" x14ac:dyDescent="0.2">
      <c r="A12" s="25" t="s">
        <v>44</v>
      </c>
      <c r="B12" s="31">
        <f>VLOOKUP(B6,'Annexe III'!A4:B83,2,FALSE)*B14</f>
        <v>139179.04</v>
      </c>
      <c r="C12" s="29"/>
      <c r="D12" s="58"/>
      <c r="E12" s="58"/>
      <c r="F12" s="58"/>
      <c r="G12" s="58"/>
      <c r="H12" s="58"/>
      <c r="I12" s="58"/>
      <c r="J12" s="58"/>
      <c r="K12" s="58"/>
      <c r="L12" s="60"/>
      <c r="M12" s="58"/>
      <c r="N12" s="58"/>
      <c r="O12" s="58"/>
      <c r="P12" s="58"/>
      <c r="Q12" s="58"/>
      <c r="R12" s="56"/>
    </row>
    <row r="13" spans="1:18" ht="14" hidden="1" customHeight="1" x14ac:dyDescent="0.2">
      <c r="A13" s="24" t="s">
        <v>41</v>
      </c>
      <c r="B13" s="31">
        <f>IF(B8="oui",B10+B11+B12,B10+B11)</f>
        <v>1514261.2800000003</v>
      </c>
      <c r="C13" s="29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6"/>
    </row>
    <row r="14" spans="1:18" ht="14" hidden="1" customHeight="1" x14ac:dyDescent="0.2">
      <c r="A14" s="24" t="s">
        <v>42</v>
      </c>
      <c r="B14" s="39">
        <f>VLOOKUP(B7,'Annexe IV'!A4:B27,2,FALSE)</f>
        <v>1.1200000000000001</v>
      </c>
      <c r="C14" s="29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6"/>
    </row>
    <row r="15" spans="1:18" ht="14" hidden="1" customHeight="1" x14ac:dyDescent="0.2">
      <c r="A15" s="24" t="s">
        <v>127</v>
      </c>
      <c r="B15" s="31" cm="1">
        <f t="array" ref="B15">_xlfn.IFS(B9&lt;5,0,B9&lt;10,(B10*0.2),B9&gt;9,(B10*0.25))</f>
        <v>330694.56000000006</v>
      </c>
      <c r="C15" s="29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6"/>
    </row>
    <row r="16" spans="1:18" ht="14" hidden="1" customHeight="1" x14ac:dyDescent="0.2">
      <c r="A16" s="24" t="s">
        <v>128</v>
      </c>
      <c r="B16" s="31" cm="1">
        <f t="array" ref="B16">_xlfn.IFS(B9&lt;5,0,B9&lt;10,(B12*0.2),B9&gt;9,(B12*0.25))</f>
        <v>34794.76</v>
      </c>
      <c r="C16" s="29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6"/>
    </row>
    <row r="17" spans="1:18" ht="14" hidden="1" customHeight="1" x14ac:dyDescent="0.2">
      <c r="A17" s="24" t="s">
        <v>129</v>
      </c>
      <c r="B17" s="31" cm="1">
        <f t="array" ref="B17">_xlfn.IFS(B9&lt;5,0,B9&lt;10,(B11*0.2),B9&gt;9,(B11*0.25))</f>
        <v>13076.000000000002</v>
      </c>
      <c r="C17" s="29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6"/>
    </row>
    <row r="18" spans="1:18" ht="15" x14ac:dyDescent="0.2">
      <c r="A18" s="22"/>
      <c r="B18" s="33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60"/>
      <c r="R18" s="56"/>
    </row>
    <row r="19" spans="1:18" ht="31.25" customHeight="1" x14ac:dyDescent="0.2">
      <c r="A19" s="42" t="s">
        <v>54</v>
      </c>
      <c r="B19" s="103"/>
      <c r="C19" s="47" t="s">
        <v>123</v>
      </c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60"/>
      <c r="R19" s="56"/>
    </row>
    <row r="20" spans="1:18" ht="31.25" customHeight="1" x14ac:dyDescent="0.2">
      <c r="A20" s="24" t="s">
        <v>52</v>
      </c>
      <c r="B20" s="48"/>
      <c r="C20" s="43" cm="1">
        <f t="array" ref="C20">_xlfn.IFS((C33+C34+C35+C64)&lt;300000,(C33+C34+C35+C64)*0.09,(C33+C34+C35+C64)&lt;600000,27000+(((C33+C34+C35+C64)-300000)*0.072),(C33+C34+C35+C64)&lt;1250000,48600+(((C33+C34+C35+C64)-600000)*0.063),(C33+C34+C35+C64)&gt;1250000,89550+(((C33+C34+C35+C64)-1250000)*0.0576))/2</f>
        <v>21303.218592000005</v>
      </c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60"/>
      <c r="R20" s="56"/>
    </row>
    <row r="21" spans="1:18" ht="31.25" customHeight="1" x14ac:dyDescent="0.2">
      <c r="A21" s="24" t="s">
        <v>53</v>
      </c>
      <c r="B21" s="48"/>
      <c r="C21" s="43" cm="1">
        <f t="array" ref="C21">_xlfn.IFS((C33+C34+C35+C64)&lt;300000,(C33+C34+C35+C64)*0.09,(C33+C34+C35+C64)&lt;600000,27000+(((C33+C34+C35+C64)-300000)*0.072),(C33+C34+C35+C64)&lt;1250000,48600+(((C33+C34+C35+C64)-600000)*0.063),(C33+C34+C35+C64)&gt;1250000,89550+(((C33+C34+C35+C64)-1250000)*0.0576))/2</f>
        <v>21303.218592000005</v>
      </c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60"/>
      <c r="R21" s="56"/>
    </row>
    <row r="22" spans="1:18" ht="31.25" customHeight="1" x14ac:dyDescent="0.2">
      <c r="A22" s="24" t="s">
        <v>55</v>
      </c>
      <c r="B22" s="48"/>
      <c r="C22" s="43">
        <v>0</v>
      </c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60"/>
      <c r="R22" s="56"/>
    </row>
    <row r="23" spans="1:18" ht="31.25" customHeight="1" x14ac:dyDescent="0.2">
      <c r="A23" s="24" t="s">
        <v>56</v>
      </c>
      <c r="B23" s="48"/>
      <c r="C23" s="43">
        <v>0</v>
      </c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60"/>
      <c r="R23" s="56"/>
    </row>
    <row r="24" spans="1:18" ht="31.25" customHeight="1" x14ac:dyDescent="0.2">
      <c r="A24" s="24" t="s">
        <v>57</v>
      </c>
      <c r="B24" s="48"/>
      <c r="C24" s="43">
        <v>0</v>
      </c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60"/>
      <c r="R24" s="56"/>
    </row>
    <row r="25" spans="1:18" ht="31.25" customHeight="1" x14ac:dyDescent="0.2">
      <c r="A25" s="25" t="s">
        <v>58</v>
      </c>
      <c r="B25" s="48"/>
      <c r="C25" s="45">
        <v>5000</v>
      </c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60"/>
      <c r="R25" s="56"/>
    </row>
    <row r="26" spans="1:18" ht="31.25" customHeight="1" x14ac:dyDescent="0.2">
      <c r="A26" s="25" t="s">
        <v>59</v>
      </c>
      <c r="B26" s="48"/>
      <c r="C26" s="45">
        <v>0</v>
      </c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60"/>
      <c r="R26" s="56"/>
    </row>
    <row r="27" spans="1:18" ht="31.25" customHeight="1" x14ac:dyDescent="0.2">
      <c r="A27" s="24" t="s">
        <v>60</v>
      </c>
      <c r="B27" s="48"/>
      <c r="C27" s="43">
        <f>SUM(C20:C26)</f>
        <v>47606.437184000009</v>
      </c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60"/>
      <c r="R27" s="56"/>
    </row>
    <row r="28" spans="1:18" ht="31.25" customHeight="1" x14ac:dyDescent="0.2">
      <c r="A28" s="24" t="s">
        <v>40</v>
      </c>
      <c r="B28" s="48"/>
      <c r="C28" s="43" cm="1">
        <f t="array" ref="C28">_xlfn.IFS((C33+C34+C35+C64)&lt;750000,(C33+C34+C35+C64)*0.03,(C33+C34+C35+C64)&lt;1500000,22500+(((C33+C34+C35+C64)-750000)*0.02),(C33+C34+C35+C64)&gt;1500000,37500+(((C33+C34+C35+C64)-1500000)*0.015))</f>
        <v>15502.682160000002</v>
      </c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60"/>
      <c r="R28" s="56"/>
    </row>
    <row r="29" spans="1:18" ht="31.25" customHeight="1" x14ac:dyDescent="0.2">
      <c r="A29" s="101" t="s">
        <v>61</v>
      </c>
      <c r="B29" s="104"/>
      <c r="C29" s="102">
        <f>C27+C28</f>
        <v>63109.119344000013</v>
      </c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60"/>
      <c r="R29" s="56"/>
    </row>
    <row r="30" spans="1:18" ht="15" x14ac:dyDescent="0.2">
      <c r="A30" s="99"/>
      <c r="B30" s="100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60"/>
      <c r="R30" s="56"/>
    </row>
    <row r="31" spans="1:18" ht="26" customHeight="1" x14ac:dyDescent="0.2">
      <c r="A31" s="42" t="s">
        <v>63</v>
      </c>
      <c r="B31" s="47" t="s">
        <v>62</v>
      </c>
      <c r="C31" s="47" t="s">
        <v>123</v>
      </c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60"/>
      <c r="R31" s="56"/>
    </row>
    <row r="32" spans="1:18" ht="45.75" customHeight="1" x14ac:dyDescent="0.2">
      <c r="A32" s="49" t="s">
        <v>64</v>
      </c>
      <c r="B32" s="65" t="s">
        <v>65</v>
      </c>
      <c r="C32" s="129">
        <v>0</v>
      </c>
      <c r="D32" s="58"/>
      <c r="E32" s="124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60"/>
      <c r="R32" s="56"/>
    </row>
    <row r="33" spans="1:18" ht="30" customHeight="1" x14ac:dyDescent="0.2">
      <c r="A33" s="50" t="s">
        <v>66</v>
      </c>
      <c r="B33" s="50" t="s">
        <v>67</v>
      </c>
      <c r="C33" s="32">
        <f>B15</f>
        <v>330694.56000000006</v>
      </c>
      <c r="D33" s="56"/>
      <c r="E33" s="56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60"/>
      <c r="R33" s="56"/>
    </row>
    <row r="34" spans="1:18" ht="30" customHeight="1" x14ac:dyDescent="0.2">
      <c r="A34" s="51" t="s">
        <v>68</v>
      </c>
      <c r="B34" s="50"/>
      <c r="C34" s="63">
        <f>B17</f>
        <v>13076.000000000002</v>
      </c>
      <c r="D34" s="56"/>
      <c r="E34" s="56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9"/>
      <c r="R34" s="56"/>
    </row>
    <row r="35" spans="1:18" ht="30" customHeight="1" x14ac:dyDescent="0.2">
      <c r="A35" s="50" t="s">
        <v>69</v>
      </c>
      <c r="B35" s="50"/>
      <c r="C35" s="63">
        <f>IF(B8="oui",B12,0)</f>
        <v>139179.04</v>
      </c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61"/>
      <c r="Q35" s="60"/>
      <c r="R35" s="56"/>
    </row>
    <row r="36" spans="1:18" ht="30" customHeight="1" x14ac:dyDescent="0.2">
      <c r="A36" s="25" t="s">
        <v>70</v>
      </c>
      <c r="B36" s="45"/>
      <c r="C36" s="63">
        <v>2000</v>
      </c>
      <c r="D36" s="56"/>
      <c r="E36" s="56"/>
      <c r="F36" s="58"/>
      <c r="G36" s="58"/>
      <c r="H36" s="58"/>
      <c r="I36" s="56"/>
      <c r="J36" s="56"/>
      <c r="K36" s="56"/>
      <c r="L36" s="56"/>
      <c r="M36" s="58"/>
      <c r="N36" s="58"/>
      <c r="O36" s="58"/>
      <c r="P36" s="58"/>
      <c r="Q36" s="58"/>
      <c r="R36" s="56"/>
    </row>
    <row r="37" spans="1:18" ht="30" customHeight="1" x14ac:dyDescent="0.2">
      <c r="A37" s="50" t="s">
        <v>71</v>
      </c>
      <c r="B37" s="50"/>
      <c r="C37" s="63">
        <f>((C33+C34+C35)/1000)*9.8</f>
        <v>4732.9060800000016</v>
      </c>
      <c r="D37" s="56"/>
      <c r="E37" s="56"/>
      <c r="F37" s="58"/>
      <c r="G37" s="58"/>
      <c r="H37" s="58"/>
      <c r="I37" s="58"/>
      <c r="J37" s="58"/>
      <c r="K37" s="58"/>
      <c r="L37" s="58"/>
      <c r="M37" s="58"/>
      <c r="N37" s="58"/>
      <c r="O37" s="60"/>
      <c r="P37" s="58"/>
      <c r="Q37" s="58"/>
      <c r="R37" s="56"/>
    </row>
    <row r="38" spans="1:18" ht="30" customHeight="1" x14ac:dyDescent="0.2">
      <c r="A38" s="50" t="s">
        <v>72</v>
      </c>
      <c r="B38" s="50"/>
      <c r="C38" s="63"/>
      <c r="D38" s="56"/>
      <c r="E38" s="56"/>
      <c r="F38" s="58"/>
      <c r="G38" s="58"/>
      <c r="H38" s="58"/>
      <c r="I38" s="58"/>
      <c r="J38" s="58"/>
      <c r="K38" s="58"/>
      <c r="L38" s="58"/>
      <c r="M38" s="58"/>
      <c r="N38" s="58"/>
      <c r="O38" s="60"/>
      <c r="P38" s="58"/>
      <c r="Q38" s="58"/>
      <c r="R38" s="56"/>
    </row>
    <row r="39" spans="1:18" ht="30" customHeight="1" x14ac:dyDescent="0.2">
      <c r="A39" s="52" t="s">
        <v>73</v>
      </c>
      <c r="B39" s="53"/>
      <c r="C39" s="64">
        <f>SUM(C32:C38)</f>
        <v>489682.50608000008</v>
      </c>
      <c r="D39" s="56"/>
      <c r="E39" s="56"/>
      <c r="F39" s="58"/>
      <c r="G39" s="58"/>
      <c r="H39" s="58"/>
      <c r="I39" s="58"/>
      <c r="J39" s="58"/>
      <c r="K39" s="58"/>
      <c r="L39" s="58"/>
      <c r="M39" s="58"/>
      <c r="N39" s="58"/>
      <c r="O39" s="60"/>
      <c r="P39" s="58"/>
      <c r="Q39" s="58"/>
      <c r="R39" s="56"/>
    </row>
    <row r="40" spans="1:18" ht="15" x14ac:dyDescent="0.2">
      <c r="A40" s="29"/>
      <c r="B40" s="29"/>
      <c r="C40" s="29"/>
      <c r="D40" s="56"/>
      <c r="E40" s="56"/>
      <c r="F40" s="58"/>
      <c r="G40" s="58"/>
      <c r="H40" s="58"/>
      <c r="I40" s="58"/>
      <c r="J40" s="58"/>
      <c r="K40" s="58"/>
      <c r="L40" s="58"/>
      <c r="M40" s="58"/>
      <c r="N40" s="58"/>
      <c r="O40" s="60"/>
      <c r="P40" s="58"/>
      <c r="Q40" s="58"/>
      <c r="R40" s="56"/>
    </row>
    <row r="41" spans="1:18" ht="30" customHeight="1" x14ac:dyDescent="0.2">
      <c r="A41" s="42" t="s">
        <v>74</v>
      </c>
      <c r="B41" s="103"/>
      <c r="C41" s="47" t="s">
        <v>123</v>
      </c>
      <c r="D41" s="56"/>
      <c r="E41" s="20"/>
      <c r="F41" s="20"/>
      <c r="I41" s="58"/>
      <c r="J41" s="58"/>
      <c r="K41" s="58"/>
      <c r="L41" s="58"/>
      <c r="M41" s="58"/>
      <c r="N41" s="58"/>
      <c r="O41" s="60"/>
      <c r="P41" s="58"/>
      <c r="Q41" s="58"/>
      <c r="R41" s="56"/>
    </row>
    <row r="42" spans="1:18" ht="30" customHeight="1" x14ac:dyDescent="0.2">
      <c r="A42" s="22" t="s">
        <v>75</v>
      </c>
      <c r="B42" s="48"/>
      <c r="C42" s="54">
        <f>'Calculs mobilier'!D8</f>
        <v>19525</v>
      </c>
      <c r="D42" s="56"/>
      <c r="E42" s="20"/>
      <c r="F42" s="20"/>
      <c r="I42" s="58"/>
      <c r="J42" s="58"/>
      <c r="K42" s="58"/>
      <c r="L42" s="60"/>
      <c r="M42" s="58"/>
      <c r="N42" s="58"/>
      <c r="O42" s="62"/>
      <c r="P42" s="58"/>
      <c r="Q42" s="58"/>
      <c r="R42" s="56"/>
    </row>
    <row r="43" spans="1:18" ht="30" customHeight="1" x14ac:dyDescent="0.2">
      <c r="A43" s="22" t="s">
        <v>76</v>
      </c>
      <c r="B43" s="48"/>
      <c r="C43" s="54">
        <f>'Calculs mobilier'!D19</f>
        <v>25000</v>
      </c>
      <c r="D43" s="56"/>
      <c r="E43" s="20"/>
      <c r="F43" s="20"/>
      <c r="I43" s="58"/>
      <c r="J43" s="58"/>
      <c r="K43" s="58"/>
      <c r="L43" s="59"/>
      <c r="M43" s="58"/>
      <c r="N43" s="58"/>
      <c r="O43" s="60"/>
      <c r="P43" s="58"/>
      <c r="Q43" s="58"/>
      <c r="R43" s="56"/>
    </row>
    <row r="44" spans="1:18" ht="30" customHeight="1" x14ac:dyDescent="0.2">
      <c r="A44" s="22" t="s">
        <v>77</v>
      </c>
      <c r="B44" s="48"/>
      <c r="C44" s="54">
        <f>'Calculs mobilier'!D22</f>
        <v>750</v>
      </c>
      <c r="D44" s="56"/>
      <c r="E44" s="20"/>
      <c r="F44" s="20"/>
      <c r="I44" s="58"/>
      <c r="J44" s="58"/>
      <c r="K44" s="58"/>
      <c r="L44" s="58"/>
      <c r="M44" s="58"/>
      <c r="N44" s="58"/>
      <c r="O44" s="58"/>
      <c r="P44" s="58"/>
      <c r="Q44" s="58"/>
      <c r="R44" s="56"/>
    </row>
    <row r="45" spans="1:18" ht="30" customHeight="1" x14ac:dyDescent="0.2">
      <c r="A45" s="22" t="s">
        <v>78</v>
      </c>
      <c r="B45" s="48"/>
      <c r="C45" s="54">
        <f>'Calculs mobilier'!D26</f>
        <v>2000</v>
      </c>
      <c r="D45" s="56"/>
      <c r="E45" s="20"/>
      <c r="F45" s="20"/>
      <c r="I45" s="58"/>
      <c r="J45" s="58"/>
      <c r="K45" s="58"/>
      <c r="L45" s="58"/>
      <c r="M45" s="58"/>
      <c r="N45" s="60"/>
      <c r="O45" s="60"/>
      <c r="P45" s="60"/>
      <c r="Q45" s="58"/>
      <c r="R45" s="56"/>
    </row>
    <row r="46" spans="1:18" ht="30" customHeight="1" x14ac:dyDescent="0.2">
      <c r="A46" s="22" t="s">
        <v>79</v>
      </c>
      <c r="B46" s="48"/>
      <c r="C46" s="54">
        <f>'Calculs mobilier'!D29</f>
        <v>15587.5</v>
      </c>
      <c r="D46" s="56"/>
      <c r="E46" s="20"/>
      <c r="F46" s="20"/>
      <c r="I46" s="58"/>
      <c r="J46" s="58"/>
      <c r="K46" s="58"/>
      <c r="L46" s="58"/>
      <c r="M46" s="58"/>
      <c r="N46" s="58"/>
      <c r="O46" s="58"/>
      <c r="P46" s="58"/>
      <c r="Q46" s="58"/>
      <c r="R46" s="56"/>
    </row>
    <row r="47" spans="1:18" ht="30" customHeight="1" x14ac:dyDescent="0.2">
      <c r="A47" s="22" t="s">
        <v>80</v>
      </c>
      <c r="B47" s="48"/>
      <c r="C47" s="54">
        <f>'Calculs mobilier'!D32</f>
        <v>13437.5</v>
      </c>
      <c r="D47" s="56"/>
      <c r="E47" s="20"/>
      <c r="F47" s="20"/>
      <c r="I47" s="58"/>
      <c r="J47" s="58"/>
      <c r="K47" s="58"/>
      <c r="L47" s="58"/>
      <c r="M47" s="58"/>
      <c r="N47" s="58"/>
      <c r="O47" s="58"/>
      <c r="P47" s="58"/>
      <c r="Q47" s="58"/>
      <c r="R47" s="56"/>
    </row>
    <row r="48" spans="1:18" ht="30" customHeight="1" x14ac:dyDescent="0.2">
      <c r="A48" s="22" t="s">
        <v>81</v>
      </c>
      <c r="B48" s="48"/>
      <c r="C48" s="54"/>
      <c r="D48" s="56"/>
      <c r="E48" s="20"/>
      <c r="F48" s="20"/>
      <c r="I48" s="58"/>
      <c r="J48" s="58"/>
      <c r="K48" s="58"/>
      <c r="L48" s="58"/>
      <c r="M48" s="58"/>
      <c r="N48" s="58"/>
      <c r="O48" s="58"/>
      <c r="P48" s="58"/>
      <c r="Q48" s="58"/>
      <c r="R48" s="56"/>
    </row>
    <row r="49" spans="1:18" ht="26" customHeight="1" x14ac:dyDescent="0.2">
      <c r="A49" s="46" t="s">
        <v>82</v>
      </c>
      <c r="B49" s="104"/>
      <c r="C49" s="55">
        <f>SUM(C42:C48)</f>
        <v>76300</v>
      </c>
      <c r="D49" s="56"/>
      <c r="E49" s="20"/>
      <c r="F49" s="20"/>
      <c r="I49" s="58"/>
      <c r="J49" s="58"/>
      <c r="K49" s="58"/>
      <c r="L49" s="58"/>
      <c r="M49" s="58"/>
      <c r="N49" s="58"/>
      <c r="O49" s="58"/>
      <c r="P49" s="58"/>
      <c r="Q49" s="58"/>
      <c r="R49" s="56"/>
    </row>
    <row r="50" spans="1:18" ht="29" customHeight="1" x14ac:dyDescent="0.2">
      <c r="A50" s="106" t="s">
        <v>125</v>
      </c>
      <c r="B50" s="66"/>
      <c r="C50" s="92" cm="1">
        <f t="array" ref="C50">_xlfn.IFS(B6&lt;41,15675,B6&gt;40,(B6*522)+31351+(B5*522))</f>
        <v>78331</v>
      </c>
      <c r="D50" s="58"/>
      <c r="E50" s="20"/>
      <c r="F50" s="20"/>
      <c r="I50" s="58"/>
      <c r="J50" s="58"/>
      <c r="K50" s="58"/>
      <c r="L50" s="58"/>
      <c r="M50" s="58"/>
      <c r="N50" s="58"/>
      <c r="O50" s="58"/>
      <c r="P50" s="58"/>
      <c r="Q50" s="58"/>
      <c r="R50" s="56"/>
    </row>
    <row r="51" spans="1:18" ht="28.25" customHeight="1" x14ac:dyDescent="0.2">
      <c r="C51" s="29"/>
      <c r="D51" s="58"/>
      <c r="E51" s="20"/>
      <c r="F51" s="20"/>
      <c r="I51" s="58"/>
      <c r="J51" s="58"/>
      <c r="K51" s="58"/>
      <c r="L51" s="58"/>
      <c r="M51" s="58"/>
      <c r="N51" s="58"/>
      <c r="O51" s="58"/>
      <c r="P51" s="58"/>
      <c r="Q51" s="58"/>
      <c r="R51" s="56"/>
    </row>
    <row r="52" spans="1:18" ht="30" customHeight="1" x14ac:dyDescent="0.2">
      <c r="A52" s="42" t="s">
        <v>83</v>
      </c>
      <c r="B52" s="103"/>
      <c r="C52" s="47" t="s">
        <v>123</v>
      </c>
      <c r="D52" s="58"/>
      <c r="E52" s="20"/>
      <c r="F52" s="20"/>
      <c r="I52" s="58"/>
      <c r="J52" s="58"/>
      <c r="K52" s="58"/>
      <c r="L52" s="58"/>
      <c r="M52" s="58"/>
      <c r="N52" s="58"/>
      <c r="O52" s="58"/>
      <c r="P52" s="58"/>
      <c r="Q52" s="58"/>
      <c r="R52" s="56"/>
    </row>
    <row r="53" spans="1:18" ht="15" x14ac:dyDescent="0.2">
      <c r="A53" s="70" t="s">
        <v>115</v>
      </c>
      <c r="B53" s="48"/>
      <c r="C53" s="92">
        <f>B6*418</f>
        <v>33440</v>
      </c>
      <c r="D53" s="58"/>
      <c r="E53" s="20"/>
      <c r="F53" s="20"/>
      <c r="I53" s="58"/>
      <c r="J53" s="58"/>
      <c r="K53" s="58"/>
      <c r="L53" s="60"/>
      <c r="M53" s="58"/>
      <c r="N53" s="58"/>
      <c r="O53" s="58"/>
      <c r="P53" s="58"/>
      <c r="Q53" s="58"/>
      <c r="R53" s="56"/>
    </row>
    <row r="54" spans="1:18" ht="15" x14ac:dyDescent="0.2">
      <c r="A54" s="22" t="s">
        <v>116</v>
      </c>
      <c r="B54" s="48"/>
      <c r="C54" s="54"/>
      <c r="D54" s="58"/>
      <c r="E54" s="58"/>
      <c r="F54" s="58"/>
      <c r="G54" s="58"/>
      <c r="H54" s="58"/>
      <c r="I54" s="58"/>
      <c r="J54" s="58"/>
      <c r="K54" s="58"/>
      <c r="L54" s="60"/>
      <c r="M54" s="58"/>
      <c r="N54" s="58"/>
      <c r="O54" s="58"/>
      <c r="P54" s="58"/>
      <c r="Q54" s="58"/>
      <c r="R54" s="56"/>
    </row>
    <row r="55" spans="1:18" ht="26.5" customHeight="1" x14ac:dyDescent="0.2">
      <c r="A55" s="46" t="s">
        <v>117</v>
      </c>
      <c r="B55" s="104"/>
      <c r="C55" s="55">
        <f>SUM(C53:C54)</f>
        <v>33440</v>
      </c>
      <c r="D55" s="58"/>
      <c r="F55" s="20"/>
      <c r="I55" s="58"/>
      <c r="J55" s="58"/>
      <c r="K55" s="58"/>
      <c r="L55" s="58"/>
      <c r="M55" s="58"/>
      <c r="N55" s="58"/>
      <c r="O55" s="58"/>
      <c r="P55" s="58"/>
      <c r="Q55" s="58"/>
      <c r="R55" s="56"/>
    </row>
    <row r="56" spans="1:18" ht="15" x14ac:dyDescent="0.2">
      <c r="D56" s="58"/>
      <c r="F56" s="20"/>
      <c r="I56" s="58"/>
      <c r="J56" s="58"/>
      <c r="K56" s="58"/>
      <c r="L56" s="58"/>
      <c r="M56" s="58"/>
      <c r="N56" s="58"/>
      <c r="O56" s="58"/>
      <c r="P56" s="58"/>
      <c r="Q56" s="58"/>
      <c r="R56" s="56"/>
    </row>
    <row r="57" spans="1:18" ht="29.5" customHeight="1" thickBot="1" x14ac:dyDescent="0.25">
      <c r="A57" s="98" t="s">
        <v>118</v>
      </c>
      <c r="B57" s="98"/>
      <c r="C57" s="105" t="s">
        <v>123</v>
      </c>
      <c r="D57" s="96"/>
      <c r="F57" s="20"/>
      <c r="I57" s="58"/>
      <c r="J57" s="58"/>
      <c r="K57" s="58"/>
      <c r="L57" s="58"/>
      <c r="M57" s="58"/>
      <c r="N57" s="58"/>
      <c r="O57" s="58"/>
      <c r="P57" s="58"/>
      <c r="Q57" s="58"/>
      <c r="R57" s="56"/>
    </row>
    <row r="58" spans="1:18" s="29" customFormat="1" ht="17" thickBot="1" x14ac:dyDescent="0.25">
      <c r="A58" s="106" t="s">
        <v>119</v>
      </c>
      <c r="B58" s="66"/>
      <c r="C58" s="119">
        <f>150*B6</f>
        <v>12000</v>
      </c>
      <c r="D58" s="93"/>
      <c r="I58" s="94"/>
      <c r="J58" s="94"/>
      <c r="K58" s="94"/>
      <c r="L58" s="94"/>
      <c r="M58" s="94"/>
      <c r="N58" s="94"/>
      <c r="O58" s="94"/>
      <c r="P58" s="94"/>
      <c r="Q58" s="94"/>
      <c r="R58" s="56"/>
    </row>
    <row r="59" spans="1:18" s="29" customFormat="1" ht="17" thickBot="1" x14ac:dyDescent="0.25">
      <c r="A59" s="106" t="s">
        <v>120</v>
      </c>
      <c r="B59" s="66"/>
      <c r="C59" s="119">
        <f>50*B6</f>
        <v>4000</v>
      </c>
      <c r="D59" s="95"/>
      <c r="I59" s="94"/>
      <c r="J59" s="94"/>
      <c r="K59" s="94"/>
      <c r="L59" s="94"/>
      <c r="M59" s="94"/>
      <c r="N59" s="94"/>
      <c r="O59" s="94"/>
      <c r="P59" s="94"/>
      <c r="Q59" s="94"/>
      <c r="R59" s="56"/>
    </row>
    <row r="60" spans="1:18" s="29" customFormat="1" ht="18" thickTop="1" thickBot="1" x14ac:dyDescent="0.25">
      <c r="A60" s="106" t="s">
        <v>121</v>
      </c>
      <c r="B60" s="66"/>
      <c r="C60" s="69">
        <f>20*B6</f>
        <v>1600</v>
      </c>
      <c r="D60" s="93"/>
      <c r="I60" s="94"/>
      <c r="J60" s="94"/>
      <c r="K60" s="94"/>
      <c r="L60" s="94"/>
      <c r="M60" s="94"/>
      <c r="N60" s="94"/>
      <c r="O60" s="94"/>
      <c r="P60" s="94"/>
      <c r="Q60" s="94"/>
      <c r="R60" s="56"/>
    </row>
    <row r="61" spans="1:18" s="29" customFormat="1" ht="17" thickBot="1" x14ac:dyDescent="0.25">
      <c r="A61" s="106" t="s">
        <v>112</v>
      </c>
      <c r="B61" s="66"/>
      <c r="C61" s="69">
        <f>75*B6</f>
        <v>6000</v>
      </c>
      <c r="D61" s="93"/>
      <c r="I61" s="94"/>
      <c r="J61" s="94"/>
      <c r="K61" s="94"/>
      <c r="L61" s="94"/>
      <c r="M61" s="94"/>
      <c r="N61" s="94"/>
      <c r="O61" s="94"/>
      <c r="P61" s="94"/>
      <c r="Q61" s="94"/>
      <c r="R61" s="56"/>
    </row>
    <row r="62" spans="1:18" s="29" customFormat="1" ht="17" thickBot="1" x14ac:dyDescent="0.25">
      <c r="A62" s="106" t="s">
        <v>116</v>
      </c>
      <c r="B62" s="66"/>
      <c r="C62" s="69"/>
      <c r="D62" s="93"/>
      <c r="I62" s="94"/>
      <c r="J62" s="94"/>
      <c r="K62" s="94"/>
      <c r="L62" s="94"/>
      <c r="M62" s="94"/>
      <c r="N62" s="94"/>
      <c r="O62" s="94"/>
      <c r="P62" s="94"/>
      <c r="Q62" s="94"/>
      <c r="R62" s="56"/>
    </row>
    <row r="63" spans="1:18" s="29" customFormat="1" ht="27.75" customHeight="1" thickBot="1" x14ac:dyDescent="0.25">
      <c r="A63" s="107" t="s">
        <v>122</v>
      </c>
      <c r="B63" s="104"/>
      <c r="C63" s="55">
        <f>SUM(C58:C62)</f>
        <v>23600</v>
      </c>
      <c r="D63" s="93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</row>
    <row r="64" spans="1:18" s="29" customFormat="1" ht="29.75" customHeight="1" thickBot="1" x14ac:dyDescent="0.25">
      <c r="A64" s="125" t="s">
        <v>125</v>
      </c>
      <c r="B64" s="92"/>
      <c r="C64" s="31">
        <f>0.07*(C33+C34+C35)</f>
        <v>33806.472000000009</v>
      </c>
      <c r="D64" s="93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</row>
    <row r="65" spans="1:18" ht="16" thickBot="1" x14ac:dyDescent="0.25">
      <c r="A65" s="44"/>
      <c r="B65" s="108"/>
      <c r="C65" s="110"/>
      <c r="D65" s="97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</row>
    <row r="66" spans="1:18" ht="17" thickBot="1" x14ac:dyDescent="0.25">
      <c r="A66" s="121" t="s">
        <v>124</v>
      </c>
      <c r="B66" s="122"/>
      <c r="C66" s="123">
        <f>C63+C55+C49+C39+C29</f>
        <v>686131.62542400009</v>
      </c>
      <c r="D66" s="96"/>
    </row>
    <row r="67" spans="1:18" ht="17" thickBot="1" x14ac:dyDescent="0.25">
      <c r="A67" s="44"/>
      <c r="B67" s="56"/>
      <c r="C67" s="120"/>
      <c r="D67" s="96"/>
    </row>
    <row r="68" spans="1:18" s="29" customFormat="1" x14ac:dyDescent="0.2">
      <c r="A68" s="115"/>
      <c r="B68" s="109"/>
      <c r="C68" s="11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</row>
    <row r="69" spans="1:18" s="29" customFormat="1" x14ac:dyDescent="0.2">
      <c r="A69" s="115"/>
      <c r="B69" s="56"/>
      <c r="C69" s="11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</row>
    <row r="70" spans="1:18" s="29" customFormat="1" x14ac:dyDescent="0.2">
      <c r="A70" s="56"/>
      <c r="B70" s="109"/>
      <c r="C70" s="11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</row>
    <row r="71" spans="1:18" s="29" customFormat="1" x14ac:dyDescent="0.2">
      <c r="A71" s="44"/>
      <c r="B71" s="111"/>
      <c r="C71" s="11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</row>
    <row r="72" spans="1:18" s="29" customFormat="1" x14ac:dyDescent="0.2">
      <c r="A72" s="56"/>
      <c r="B72" s="112"/>
      <c r="C72" s="11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</row>
    <row r="73" spans="1:18" s="29" customFormat="1" x14ac:dyDescent="0.2">
      <c r="A73" s="113"/>
      <c r="B73" s="114"/>
      <c r="C73" s="11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</row>
    <row r="74" spans="1:18" s="29" customFormat="1" x14ac:dyDescent="0.2">
      <c r="A74" s="115"/>
      <c r="B74" s="112"/>
      <c r="C74" s="11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</row>
    <row r="75" spans="1:18" s="29" customFormat="1" x14ac:dyDescent="0.2">
      <c r="A75" s="113"/>
      <c r="B75" s="111"/>
      <c r="C75" s="11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</row>
    <row r="76" spans="1:18" s="29" customFormat="1" x14ac:dyDescent="0.2">
      <c r="A76" s="44"/>
      <c r="B76" s="109"/>
      <c r="C76" s="11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</row>
    <row r="77" spans="1:18" s="29" customFormat="1" x14ac:dyDescent="0.2">
      <c r="A77" s="113"/>
      <c r="B77" s="116"/>
      <c r="C77" s="11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</row>
    <row r="78" spans="1:18" s="29" customFormat="1" x14ac:dyDescent="0.2">
      <c r="A78" s="115"/>
      <c r="B78" s="56"/>
      <c r="C78" s="11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</row>
    <row r="79" spans="1:18" s="29" customFormat="1" x14ac:dyDescent="0.2">
      <c r="A79" s="44"/>
      <c r="B79" s="117"/>
      <c r="C79" s="11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</row>
    <row r="80" spans="1:18" s="29" customFormat="1" x14ac:dyDescent="0.2">
      <c r="A80" s="115"/>
      <c r="B80" s="118"/>
      <c r="C80" s="11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</row>
    <row r="81" spans="1:18" s="29" customFormat="1" x14ac:dyDescent="0.2">
      <c r="A81" s="44"/>
      <c r="B81" s="117"/>
      <c r="C81" s="11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</row>
    <row r="82" spans="1:18" s="29" customFormat="1" x14ac:dyDescent="0.2">
      <c r="A82" s="115"/>
      <c r="B82" s="56"/>
      <c r="C82" s="11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</row>
    <row r="83" spans="1:18" s="29" customFormat="1" x14ac:dyDescent="0.2">
      <c r="A83" s="44"/>
      <c r="B83" s="117"/>
      <c r="C83" s="11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</row>
    <row r="84" spans="1:18" s="29" customFormat="1" x14ac:dyDescent="0.2">
      <c r="A84" s="115"/>
      <c r="B84" s="56"/>
      <c r="C84" s="11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</row>
    <row r="85" spans="1:18" s="29" customFormat="1" x14ac:dyDescent="0.2">
      <c r="A85" s="115"/>
      <c r="B85" s="56"/>
      <c r="C85" s="11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</row>
  </sheetData>
  <sheetProtection algorithmName="SHA-512" hashValue="DE9nHXwRIYsrDjr+ePUThHbrm2qDM2taG5YHzzLjkh5jdHjMgANpL086GQi1I5xjvkQ465FuTGglRWs9cZdlxA==" saltValue="o8qyxBmEwKe/YK1NZi1GZg==" spinCount="100000" sheet="1" selectLockedCells="1"/>
  <mergeCells count="1">
    <mergeCell ref="A2:B2"/>
  </mergeCells>
  <pageMargins left="0.7" right="0.7" top="0.75" bottom="0.75" header="0.3" footer="0.3"/>
  <pageSetup scale="56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582F4DE-6531-4096-9E94-52CBE0E7303C}">
          <x14:formula1>
            <xm:f>'Menu déroulant'!$A$1:$A$2</xm:f>
          </x14:formula1>
          <xm:sqref>B8</xm:sqref>
        </x14:dataValidation>
        <x14:dataValidation type="list" allowBlank="1" showInputMessage="1" showErrorMessage="1" xr:uid="{1E9676F7-C133-4CF0-9B44-BC64D759EA95}">
          <x14:formula1>
            <xm:f>'Annexe IV'!$A$4:$A$27</xm:f>
          </x14:formula1>
          <xm:sqref>B7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2203A-4223-45BD-9C82-14B6F902DF3D}">
  <dimension ref="A2:D32"/>
  <sheetViews>
    <sheetView workbookViewId="0">
      <selection activeCell="E43" sqref="E43"/>
    </sheetView>
  </sheetViews>
  <sheetFormatPr baseColWidth="10" defaultColWidth="11.5" defaultRowHeight="14" x14ac:dyDescent="0.15"/>
  <cols>
    <col min="1" max="1" width="28.5" style="74" bestFit="1" customWidth="1"/>
    <col min="2" max="2" width="6.33203125" style="81" bestFit="1" customWidth="1"/>
    <col min="3" max="3" width="13.33203125" style="74" bestFit="1" customWidth="1"/>
    <col min="4" max="4" width="13.5" style="74" bestFit="1" customWidth="1"/>
    <col min="5" max="16384" width="11.5" style="74"/>
  </cols>
  <sheetData>
    <row r="2" spans="1:4" x14ac:dyDescent="0.15">
      <c r="A2" s="27" t="s">
        <v>107</v>
      </c>
      <c r="B2" s="82" t="s">
        <v>84</v>
      </c>
      <c r="C2" s="68" t="s">
        <v>85</v>
      </c>
      <c r="D2" s="68" t="s">
        <v>86</v>
      </c>
    </row>
    <row r="3" spans="1:4" x14ac:dyDescent="0.15">
      <c r="A3" s="66" t="s">
        <v>87</v>
      </c>
      <c r="B3" s="76">
        <f>'Calcul env. achat-construction'!B5</f>
        <v>10</v>
      </c>
      <c r="C3" s="67">
        <v>500</v>
      </c>
      <c r="D3" s="67">
        <f>B3*C3</f>
        <v>5000</v>
      </c>
    </row>
    <row r="4" spans="1:4" x14ac:dyDescent="0.15">
      <c r="A4" s="66" t="s">
        <v>88</v>
      </c>
      <c r="B4" s="76">
        <f>'Calcul env. achat-construction'!B5</f>
        <v>10</v>
      </c>
      <c r="C4" s="67">
        <v>250</v>
      </c>
      <c r="D4" s="67">
        <f>B4*C4</f>
        <v>2500</v>
      </c>
    </row>
    <row r="5" spans="1:4" x14ac:dyDescent="0.15">
      <c r="A5" s="66" t="s">
        <v>89</v>
      </c>
      <c r="B5" s="91">
        <f>'Calcul env. achat-construction'!B4/4</f>
        <v>17.5</v>
      </c>
      <c r="C5" s="67">
        <v>250</v>
      </c>
      <c r="D5" s="67">
        <f>B5*C5</f>
        <v>4375</v>
      </c>
    </row>
    <row r="6" spans="1:4" x14ac:dyDescent="0.15">
      <c r="A6" s="66" t="s">
        <v>90</v>
      </c>
      <c r="B6" s="76">
        <f>'Calcul env. achat-construction'!B4</f>
        <v>70</v>
      </c>
      <c r="C6" s="67">
        <v>95</v>
      </c>
      <c r="D6" s="67">
        <f>B6*C6</f>
        <v>6650</v>
      </c>
    </row>
    <row r="7" spans="1:4" x14ac:dyDescent="0.15">
      <c r="A7" s="66" t="s">
        <v>91</v>
      </c>
      <c r="B7" s="76">
        <v>1</v>
      </c>
      <c r="C7" s="67">
        <v>1000</v>
      </c>
      <c r="D7" s="67">
        <f>B7*C7</f>
        <v>1000</v>
      </c>
    </row>
    <row r="8" spans="1:4" x14ac:dyDescent="0.15">
      <c r="A8" s="27" t="s">
        <v>92</v>
      </c>
      <c r="B8" s="77"/>
      <c r="C8" s="75"/>
      <c r="D8" s="75">
        <f>SUM(D3:D7)</f>
        <v>19525</v>
      </c>
    </row>
    <row r="10" spans="1:4" x14ac:dyDescent="0.15">
      <c r="A10" s="26" t="s">
        <v>97</v>
      </c>
      <c r="B10" s="77"/>
      <c r="C10" s="73"/>
      <c r="D10" s="73"/>
    </row>
    <row r="11" spans="1:4" x14ac:dyDescent="0.15">
      <c r="A11" s="70" t="s">
        <v>98</v>
      </c>
      <c r="B11" s="78">
        <v>1</v>
      </c>
      <c r="C11" s="71">
        <v>1000</v>
      </c>
      <c r="D11" s="71">
        <f>C11*B11</f>
        <v>1000</v>
      </c>
    </row>
    <row r="12" spans="1:4" x14ac:dyDescent="0.15">
      <c r="A12" s="70" t="s">
        <v>99</v>
      </c>
      <c r="B12" s="78">
        <v>1</v>
      </c>
      <c r="C12" s="71">
        <v>1000</v>
      </c>
      <c r="D12" s="71">
        <f>C12*B12</f>
        <v>1000</v>
      </c>
    </row>
    <row r="13" spans="1:4" x14ac:dyDescent="0.15">
      <c r="A13" s="26" t="s">
        <v>101</v>
      </c>
      <c r="B13" s="79"/>
      <c r="C13" s="72"/>
      <c r="D13" s="72"/>
    </row>
    <row r="14" spans="1:4" x14ac:dyDescent="0.15">
      <c r="A14" s="70" t="s">
        <v>100</v>
      </c>
      <c r="B14" s="78">
        <v>1</v>
      </c>
      <c r="C14" s="71">
        <v>1000</v>
      </c>
      <c r="D14" s="71">
        <f>B14*C14</f>
        <v>1000</v>
      </c>
    </row>
    <row r="15" spans="1:4" x14ac:dyDescent="0.15">
      <c r="A15" s="70" t="s">
        <v>102</v>
      </c>
      <c r="B15" s="78">
        <v>1</v>
      </c>
      <c r="C15" s="71">
        <v>6000</v>
      </c>
      <c r="D15" s="71">
        <f>B15*C15</f>
        <v>6000</v>
      </c>
    </row>
    <row r="16" spans="1:4" x14ac:dyDescent="0.15">
      <c r="A16" s="22" t="s">
        <v>103</v>
      </c>
      <c r="B16" s="80">
        <v>1</v>
      </c>
      <c r="C16" s="71">
        <v>6000</v>
      </c>
      <c r="D16" s="71">
        <f>B16*C16</f>
        <v>6000</v>
      </c>
    </row>
    <row r="17" spans="1:4" x14ac:dyDescent="0.15">
      <c r="A17" s="70" t="s">
        <v>104</v>
      </c>
      <c r="B17" s="80">
        <v>1</v>
      </c>
      <c r="C17" s="71">
        <v>5000</v>
      </c>
      <c r="D17" s="71">
        <f>B17*C17</f>
        <v>5000</v>
      </c>
    </row>
    <row r="18" spans="1:4" x14ac:dyDescent="0.15">
      <c r="A18" s="70" t="s">
        <v>105</v>
      </c>
      <c r="B18" s="78">
        <v>1</v>
      </c>
      <c r="C18" s="71">
        <v>5000</v>
      </c>
      <c r="D18" s="71">
        <f>B18*C18</f>
        <v>5000</v>
      </c>
    </row>
    <row r="19" spans="1:4" x14ac:dyDescent="0.15">
      <c r="A19" s="26" t="s">
        <v>106</v>
      </c>
      <c r="B19" s="79"/>
      <c r="C19" s="72"/>
      <c r="D19" s="73">
        <f>SUM(D10:D18)</f>
        <v>25000</v>
      </c>
    </row>
    <row r="21" spans="1:4" x14ac:dyDescent="0.15">
      <c r="A21" s="66" t="s">
        <v>95</v>
      </c>
      <c r="B21" s="66">
        <v>1</v>
      </c>
      <c r="C21" s="69">
        <v>750</v>
      </c>
      <c r="D21" s="54">
        <f>C21*B21</f>
        <v>750</v>
      </c>
    </row>
    <row r="22" spans="1:4" x14ac:dyDescent="0.15">
      <c r="A22" s="27" t="s">
        <v>96</v>
      </c>
      <c r="B22" s="27"/>
      <c r="C22" s="84"/>
      <c r="D22" s="84">
        <f>SUM(D21:D21)</f>
        <v>750</v>
      </c>
    </row>
    <row r="24" spans="1:4" x14ac:dyDescent="0.15">
      <c r="A24" s="48" t="s">
        <v>93</v>
      </c>
      <c r="B24" s="48">
        <v>1</v>
      </c>
      <c r="C24" s="54">
        <v>1000</v>
      </c>
      <c r="D24" s="54">
        <f>C24*B24</f>
        <v>1000</v>
      </c>
    </row>
    <row r="25" spans="1:4" x14ac:dyDescent="0.15">
      <c r="A25" s="66" t="s">
        <v>94</v>
      </c>
      <c r="B25" s="66">
        <v>1</v>
      </c>
      <c r="C25" s="69">
        <v>1000</v>
      </c>
      <c r="D25" s="54">
        <f>C25*B25</f>
        <v>1000</v>
      </c>
    </row>
    <row r="26" spans="1:4" x14ac:dyDescent="0.15">
      <c r="A26" s="85" t="s">
        <v>108</v>
      </c>
      <c r="B26" s="86"/>
      <c r="C26" s="85"/>
      <c r="D26" s="87">
        <f>SUM(D24:D25)</f>
        <v>2000</v>
      </c>
    </row>
    <row r="28" spans="1:4" x14ac:dyDescent="0.15">
      <c r="A28" s="88" t="s">
        <v>79</v>
      </c>
      <c r="B28" s="89">
        <f>('Calcul env. achat-construction'!B4/8)+('Calcul env. achat-construction'!B5/5)</f>
        <v>10.75</v>
      </c>
      <c r="C28" s="90">
        <v>1450</v>
      </c>
      <c r="D28" s="90">
        <f>C28*B28</f>
        <v>15587.5</v>
      </c>
    </row>
    <row r="29" spans="1:4" x14ac:dyDescent="0.15">
      <c r="A29" s="83" t="s">
        <v>113</v>
      </c>
      <c r="B29" s="83"/>
      <c r="C29" s="75"/>
      <c r="D29" s="75">
        <f>SUM(D28:D28)</f>
        <v>15587.5</v>
      </c>
    </row>
    <row r="31" spans="1:4" x14ac:dyDescent="0.15">
      <c r="A31" s="88" t="s">
        <v>109</v>
      </c>
      <c r="B31" s="89">
        <f>('Calcul env. achat-construction'!B4/8)+('Calcul env. achat-construction'!B5/5)</f>
        <v>10.75</v>
      </c>
      <c r="C31" s="90">
        <v>1250</v>
      </c>
      <c r="D31" s="90">
        <f>C31*B31</f>
        <v>13437.5</v>
      </c>
    </row>
    <row r="32" spans="1:4" x14ac:dyDescent="0.15">
      <c r="A32" s="83" t="s">
        <v>114</v>
      </c>
      <c r="B32" s="83"/>
      <c r="C32" s="75"/>
      <c r="D32" s="75">
        <f>D31</f>
        <v>13437.5</v>
      </c>
    </row>
  </sheetData>
  <pageMargins left="0.7" right="0.7" top="0.75" bottom="0.75" header="0.3" footer="0.3"/>
  <pageSetup orientation="portrait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34AEE-DBBB-43F2-8DE7-4B66A5656861}">
  <sheetPr codeName="Feuil2"/>
  <dimension ref="A1:C318"/>
  <sheetViews>
    <sheetView topLeftCell="A40" zoomScale="110" zoomScaleNormal="110" workbookViewId="0">
      <selection activeCell="B83" sqref="B83"/>
    </sheetView>
  </sheetViews>
  <sheetFormatPr baseColWidth="10" defaultColWidth="11.5" defaultRowHeight="14" x14ac:dyDescent="0.15"/>
  <cols>
    <col min="1" max="1" width="19.5" style="2" customWidth="1"/>
    <col min="2" max="2" width="22.5" style="2" customWidth="1"/>
    <col min="3" max="3" width="23.83203125" style="2" customWidth="1"/>
    <col min="4" max="16384" width="11.5" style="2"/>
  </cols>
  <sheetData>
    <row r="1" spans="1:3" x14ac:dyDescent="0.15">
      <c r="A1" s="132" t="s">
        <v>14</v>
      </c>
      <c r="B1" s="132"/>
    </row>
    <row r="2" spans="1:3" ht="35.25" customHeight="1" x14ac:dyDescent="0.15">
      <c r="A2" s="133" t="s">
        <v>15</v>
      </c>
      <c r="B2" s="133"/>
    </row>
    <row r="3" spans="1:3" ht="45" x14ac:dyDescent="0.15">
      <c r="A3" s="5" t="s">
        <v>16</v>
      </c>
      <c r="B3" s="5" t="s">
        <v>17</v>
      </c>
    </row>
    <row r="4" spans="1:3" x14ac:dyDescent="0.15">
      <c r="A4" s="6">
        <v>1</v>
      </c>
      <c r="B4" s="7">
        <v>379502</v>
      </c>
      <c r="C4" s="8"/>
    </row>
    <row r="5" spans="1:3" x14ac:dyDescent="0.15">
      <c r="A5" s="6">
        <v>2</v>
      </c>
      <c r="B5" s="7">
        <v>379502</v>
      </c>
      <c r="C5" s="8"/>
    </row>
    <row r="6" spans="1:3" x14ac:dyDescent="0.15">
      <c r="A6" s="6">
        <v>3</v>
      </c>
      <c r="B6" s="7">
        <v>379502</v>
      </c>
      <c r="C6" s="8"/>
    </row>
    <row r="7" spans="1:3" x14ac:dyDescent="0.15">
      <c r="A7" s="6">
        <v>4</v>
      </c>
      <c r="B7" s="7">
        <v>379502</v>
      </c>
      <c r="C7" s="8"/>
    </row>
    <row r="8" spans="1:3" x14ac:dyDescent="0.15">
      <c r="A8" s="6">
        <v>5</v>
      </c>
      <c r="B8" s="7">
        <v>379502</v>
      </c>
      <c r="C8" s="8"/>
    </row>
    <row r="9" spans="1:3" x14ac:dyDescent="0.15">
      <c r="A9" s="6">
        <v>6</v>
      </c>
      <c r="B9" s="7">
        <v>379502</v>
      </c>
      <c r="C9" s="8"/>
    </row>
    <row r="10" spans="1:3" x14ac:dyDescent="0.15">
      <c r="A10" s="6">
        <v>7</v>
      </c>
      <c r="B10" s="7">
        <v>379502</v>
      </c>
      <c r="C10" s="8"/>
    </row>
    <row r="11" spans="1:3" x14ac:dyDescent="0.15">
      <c r="A11" s="6">
        <v>8</v>
      </c>
      <c r="B11" s="7">
        <v>379502</v>
      </c>
      <c r="C11" s="8"/>
    </row>
    <row r="12" spans="1:3" x14ac:dyDescent="0.15">
      <c r="A12" s="6">
        <v>9</v>
      </c>
      <c r="B12" s="7">
        <v>379502</v>
      </c>
      <c r="C12" s="8"/>
    </row>
    <row r="13" spans="1:3" x14ac:dyDescent="0.15">
      <c r="A13" s="6">
        <v>10</v>
      </c>
      <c r="B13" s="7">
        <v>379502</v>
      </c>
      <c r="C13" s="8"/>
    </row>
    <row r="14" spans="1:3" x14ac:dyDescent="0.15">
      <c r="A14" s="6">
        <v>11</v>
      </c>
      <c r="B14" s="7">
        <v>379502</v>
      </c>
      <c r="C14" s="8"/>
    </row>
    <row r="15" spans="1:3" x14ac:dyDescent="0.15">
      <c r="A15" s="6">
        <v>12</v>
      </c>
      <c r="B15" s="7">
        <v>379502</v>
      </c>
      <c r="C15" s="8"/>
    </row>
    <row r="16" spans="1:3" x14ac:dyDescent="0.15">
      <c r="A16" s="6">
        <v>13</v>
      </c>
      <c r="B16" s="7">
        <v>379502</v>
      </c>
      <c r="C16" s="8"/>
    </row>
    <row r="17" spans="1:3" x14ac:dyDescent="0.15">
      <c r="A17" s="6">
        <v>14</v>
      </c>
      <c r="B17" s="7">
        <v>379502</v>
      </c>
      <c r="C17" s="8"/>
    </row>
    <row r="18" spans="1:3" x14ac:dyDescent="0.15">
      <c r="A18" s="6">
        <v>15</v>
      </c>
      <c r="B18" s="7">
        <v>379502</v>
      </c>
      <c r="C18" s="8"/>
    </row>
    <row r="19" spans="1:3" x14ac:dyDescent="0.15">
      <c r="A19" s="6">
        <v>16</v>
      </c>
      <c r="B19" s="7">
        <v>379502</v>
      </c>
      <c r="C19" s="8"/>
    </row>
    <row r="20" spans="1:3" x14ac:dyDescent="0.15">
      <c r="A20" s="6">
        <v>17</v>
      </c>
      <c r="B20" s="7">
        <v>379502</v>
      </c>
      <c r="C20" s="8"/>
    </row>
    <row r="21" spans="1:3" x14ac:dyDescent="0.15">
      <c r="A21" s="6">
        <v>18</v>
      </c>
      <c r="B21" s="7">
        <v>379502</v>
      </c>
      <c r="C21" s="8"/>
    </row>
    <row r="22" spans="1:3" x14ac:dyDescent="0.15">
      <c r="A22" s="6">
        <v>19</v>
      </c>
      <c r="B22" s="7">
        <v>379502</v>
      </c>
      <c r="C22" s="8"/>
    </row>
    <row r="23" spans="1:3" x14ac:dyDescent="0.15">
      <c r="A23" s="9">
        <v>20</v>
      </c>
      <c r="B23" s="7">
        <v>392030</v>
      </c>
    </row>
    <row r="24" spans="1:3" x14ac:dyDescent="0.15">
      <c r="A24" s="9">
        <v>21</v>
      </c>
      <c r="B24" s="7">
        <v>404561</v>
      </c>
    </row>
    <row r="25" spans="1:3" x14ac:dyDescent="0.15">
      <c r="A25" s="9">
        <v>22</v>
      </c>
      <c r="B25" s="7">
        <v>417089</v>
      </c>
    </row>
    <row r="26" spans="1:3" x14ac:dyDescent="0.15">
      <c r="A26" s="9">
        <v>23</v>
      </c>
      <c r="B26" s="7">
        <v>429620</v>
      </c>
    </row>
    <row r="27" spans="1:3" x14ac:dyDescent="0.15">
      <c r="A27" s="9">
        <v>24</v>
      </c>
      <c r="B27" s="7">
        <v>442153</v>
      </c>
    </row>
    <row r="28" spans="1:3" x14ac:dyDescent="0.15">
      <c r="A28" s="9">
        <v>25</v>
      </c>
      <c r="B28" s="7">
        <v>454679</v>
      </c>
    </row>
    <row r="29" spans="1:3" x14ac:dyDescent="0.15">
      <c r="A29" s="9">
        <v>26</v>
      </c>
      <c r="B29" s="7">
        <v>467210</v>
      </c>
    </row>
    <row r="30" spans="1:3" x14ac:dyDescent="0.15">
      <c r="A30" s="9">
        <v>27</v>
      </c>
      <c r="B30" s="7">
        <v>479740</v>
      </c>
    </row>
    <row r="31" spans="1:3" x14ac:dyDescent="0.15">
      <c r="A31" s="9">
        <v>28</v>
      </c>
      <c r="B31" s="7">
        <v>492270</v>
      </c>
    </row>
    <row r="32" spans="1:3" x14ac:dyDescent="0.15">
      <c r="A32" s="9">
        <v>29</v>
      </c>
      <c r="B32" s="7">
        <v>504803</v>
      </c>
    </row>
    <row r="33" spans="1:2" x14ac:dyDescent="0.15">
      <c r="A33" s="9">
        <v>30</v>
      </c>
      <c r="B33" s="7">
        <v>517330</v>
      </c>
    </row>
    <row r="34" spans="1:2" x14ac:dyDescent="0.15">
      <c r="A34" s="9">
        <v>31</v>
      </c>
      <c r="B34" s="7">
        <v>529860</v>
      </c>
    </row>
    <row r="35" spans="1:2" x14ac:dyDescent="0.15">
      <c r="A35" s="9">
        <v>32</v>
      </c>
      <c r="B35" s="7">
        <v>542390</v>
      </c>
    </row>
    <row r="36" spans="1:2" x14ac:dyDescent="0.15">
      <c r="A36" s="9">
        <v>33</v>
      </c>
      <c r="B36" s="7">
        <v>554919</v>
      </c>
    </row>
    <row r="37" spans="1:2" x14ac:dyDescent="0.15">
      <c r="A37" s="9">
        <v>34</v>
      </c>
      <c r="B37" s="7">
        <v>567452</v>
      </c>
    </row>
    <row r="38" spans="1:2" x14ac:dyDescent="0.15">
      <c r="A38" s="9">
        <v>35</v>
      </c>
      <c r="B38" s="7">
        <v>579984</v>
      </c>
    </row>
    <row r="39" spans="1:2" x14ac:dyDescent="0.15">
      <c r="A39" s="9">
        <v>36</v>
      </c>
      <c r="B39" s="7">
        <v>592512</v>
      </c>
    </row>
    <row r="40" spans="1:2" x14ac:dyDescent="0.15">
      <c r="A40" s="9">
        <v>37</v>
      </c>
      <c r="B40" s="7">
        <v>605043</v>
      </c>
    </row>
    <row r="41" spans="1:2" x14ac:dyDescent="0.15">
      <c r="A41" s="9">
        <v>38</v>
      </c>
      <c r="B41" s="7">
        <v>617571</v>
      </c>
    </row>
    <row r="42" spans="1:2" x14ac:dyDescent="0.15">
      <c r="A42" s="9">
        <v>39</v>
      </c>
      <c r="B42" s="7">
        <v>630102</v>
      </c>
    </row>
    <row r="43" spans="1:2" x14ac:dyDescent="0.15">
      <c r="A43" s="9">
        <v>40</v>
      </c>
      <c r="B43" s="7">
        <v>655036</v>
      </c>
    </row>
    <row r="44" spans="1:2" x14ac:dyDescent="0.15">
      <c r="A44" s="9">
        <v>41</v>
      </c>
      <c r="B44" s="7">
        <v>667567</v>
      </c>
    </row>
    <row r="45" spans="1:2" x14ac:dyDescent="0.15">
      <c r="A45" s="9">
        <v>42</v>
      </c>
      <c r="B45" s="7">
        <v>680098</v>
      </c>
    </row>
    <row r="46" spans="1:2" x14ac:dyDescent="0.15">
      <c r="A46" s="9">
        <v>43</v>
      </c>
      <c r="B46" s="7">
        <v>692625</v>
      </c>
    </row>
    <row r="47" spans="1:2" x14ac:dyDescent="0.15">
      <c r="A47" s="9">
        <v>44</v>
      </c>
      <c r="B47" s="7">
        <v>705155</v>
      </c>
    </row>
    <row r="48" spans="1:2" x14ac:dyDescent="0.15">
      <c r="A48" s="9">
        <v>45</v>
      </c>
      <c r="B48" s="7">
        <v>717687</v>
      </c>
    </row>
    <row r="49" spans="1:2" x14ac:dyDescent="0.15">
      <c r="A49" s="9">
        <v>46</v>
      </c>
      <c r="B49" s="7">
        <v>730219</v>
      </c>
    </row>
    <row r="50" spans="1:2" x14ac:dyDescent="0.15">
      <c r="A50" s="9">
        <v>47</v>
      </c>
      <c r="B50" s="7">
        <v>742750</v>
      </c>
    </row>
    <row r="51" spans="1:2" x14ac:dyDescent="0.15">
      <c r="A51" s="9">
        <v>48</v>
      </c>
      <c r="B51" s="7">
        <v>755279</v>
      </c>
    </row>
    <row r="52" spans="1:2" x14ac:dyDescent="0.15">
      <c r="A52" s="9">
        <v>49</v>
      </c>
      <c r="B52" s="7">
        <v>767809</v>
      </c>
    </row>
    <row r="53" spans="1:2" x14ac:dyDescent="0.15">
      <c r="A53" s="9">
        <v>50</v>
      </c>
      <c r="B53" s="7">
        <v>780336</v>
      </c>
    </row>
    <row r="54" spans="1:2" x14ac:dyDescent="0.15">
      <c r="A54" s="9">
        <v>51</v>
      </c>
      <c r="B54" s="7">
        <v>792870</v>
      </c>
    </row>
    <row r="55" spans="1:2" x14ac:dyDescent="0.15">
      <c r="A55" s="9">
        <v>52</v>
      </c>
      <c r="B55" s="7">
        <v>805399</v>
      </c>
    </row>
    <row r="56" spans="1:2" x14ac:dyDescent="0.15">
      <c r="A56" s="9">
        <v>53</v>
      </c>
      <c r="B56" s="7">
        <v>817930</v>
      </c>
    </row>
    <row r="57" spans="1:2" x14ac:dyDescent="0.15">
      <c r="A57" s="9">
        <v>54</v>
      </c>
      <c r="B57" s="7">
        <v>830460</v>
      </c>
    </row>
    <row r="58" spans="1:2" x14ac:dyDescent="0.15">
      <c r="A58" s="9">
        <v>55</v>
      </c>
      <c r="B58" s="7">
        <v>855395</v>
      </c>
    </row>
    <row r="59" spans="1:2" x14ac:dyDescent="0.15">
      <c r="A59" s="9">
        <v>56</v>
      </c>
      <c r="B59" s="7">
        <v>867925</v>
      </c>
    </row>
    <row r="60" spans="1:2" x14ac:dyDescent="0.15">
      <c r="A60" s="9">
        <v>57</v>
      </c>
      <c r="B60" s="7">
        <v>880456</v>
      </c>
    </row>
    <row r="61" spans="1:2" x14ac:dyDescent="0.15">
      <c r="A61" s="9">
        <v>58</v>
      </c>
      <c r="B61" s="7">
        <v>892984</v>
      </c>
    </row>
    <row r="62" spans="1:2" x14ac:dyDescent="0.15">
      <c r="A62" s="9">
        <v>59</v>
      </c>
      <c r="B62" s="7">
        <v>905514</v>
      </c>
    </row>
    <row r="63" spans="1:2" x14ac:dyDescent="0.15">
      <c r="A63" s="9">
        <v>60</v>
      </c>
      <c r="B63" s="7">
        <v>918046</v>
      </c>
    </row>
    <row r="64" spans="1:2" x14ac:dyDescent="0.15">
      <c r="A64" s="9">
        <v>61</v>
      </c>
      <c r="B64" s="7">
        <v>930573</v>
      </c>
    </row>
    <row r="65" spans="1:2" x14ac:dyDescent="0.15">
      <c r="A65" s="9">
        <v>62</v>
      </c>
      <c r="B65" s="7">
        <v>943104</v>
      </c>
    </row>
    <row r="66" spans="1:2" x14ac:dyDescent="0.15">
      <c r="A66" s="9">
        <v>63</v>
      </c>
      <c r="B66" s="7">
        <v>955636</v>
      </c>
    </row>
    <row r="67" spans="1:2" x14ac:dyDescent="0.15">
      <c r="A67" s="9">
        <v>64</v>
      </c>
      <c r="B67" s="7">
        <v>968165</v>
      </c>
    </row>
    <row r="68" spans="1:2" x14ac:dyDescent="0.15">
      <c r="A68" s="9">
        <v>65</v>
      </c>
      <c r="B68" s="7">
        <v>980696</v>
      </c>
    </row>
    <row r="69" spans="1:2" x14ac:dyDescent="0.15">
      <c r="A69" s="9">
        <v>66</v>
      </c>
      <c r="B69" s="7">
        <v>993224</v>
      </c>
    </row>
    <row r="70" spans="1:2" x14ac:dyDescent="0.15">
      <c r="A70" s="9">
        <v>67</v>
      </c>
      <c r="B70" s="7">
        <v>1005756</v>
      </c>
    </row>
    <row r="71" spans="1:2" x14ac:dyDescent="0.15">
      <c r="A71" s="9">
        <v>68</v>
      </c>
      <c r="B71" s="7">
        <v>1018286</v>
      </c>
    </row>
    <row r="72" spans="1:2" x14ac:dyDescent="0.15">
      <c r="A72" s="9">
        <v>69</v>
      </c>
      <c r="B72" s="7">
        <v>1030814</v>
      </c>
    </row>
    <row r="73" spans="1:2" x14ac:dyDescent="0.15">
      <c r="A73" s="9">
        <v>70</v>
      </c>
      <c r="B73" s="7">
        <v>1055754</v>
      </c>
    </row>
    <row r="74" spans="1:2" x14ac:dyDescent="0.15">
      <c r="A74" s="9">
        <v>71</v>
      </c>
      <c r="B74" s="7">
        <v>1068282</v>
      </c>
    </row>
    <row r="75" spans="1:2" x14ac:dyDescent="0.15">
      <c r="A75" s="9">
        <v>72</v>
      </c>
      <c r="B75" s="7">
        <v>1080814</v>
      </c>
    </row>
    <row r="76" spans="1:2" x14ac:dyDescent="0.15">
      <c r="A76" s="9">
        <v>73</v>
      </c>
      <c r="B76" s="7">
        <v>1093343</v>
      </c>
    </row>
    <row r="77" spans="1:2" x14ac:dyDescent="0.15">
      <c r="A77" s="9">
        <v>74</v>
      </c>
      <c r="B77" s="7">
        <v>1105874</v>
      </c>
    </row>
    <row r="78" spans="1:2" x14ac:dyDescent="0.15">
      <c r="A78" s="9">
        <v>75</v>
      </c>
      <c r="B78" s="7">
        <v>1118402</v>
      </c>
    </row>
    <row r="79" spans="1:2" x14ac:dyDescent="0.15">
      <c r="A79" s="9">
        <v>76</v>
      </c>
      <c r="B79" s="7">
        <v>1130933</v>
      </c>
    </row>
    <row r="80" spans="1:2" x14ac:dyDescent="0.15">
      <c r="A80" s="9">
        <v>77</v>
      </c>
      <c r="B80" s="7">
        <v>1143462</v>
      </c>
    </row>
    <row r="81" spans="1:2" x14ac:dyDescent="0.15">
      <c r="A81" s="9">
        <v>78</v>
      </c>
      <c r="B81" s="7">
        <v>1155993</v>
      </c>
    </row>
    <row r="82" spans="1:2" x14ac:dyDescent="0.15">
      <c r="A82" s="9">
        <v>79</v>
      </c>
      <c r="B82" s="7">
        <v>1168523</v>
      </c>
    </row>
    <row r="83" spans="1:2" x14ac:dyDescent="0.15">
      <c r="A83" s="9">
        <v>80</v>
      </c>
      <c r="B83" s="7">
        <v>1181052</v>
      </c>
    </row>
    <row r="84" spans="1:2" x14ac:dyDescent="0.15">
      <c r="A84" s="10"/>
      <c r="B84" s="10"/>
    </row>
    <row r="85" spans="1:2" x14ac:dyDescent="0.15">
      <c r="A85" s="11"/>
      <c r="B85" s="11"/>
    </row>
    <row r="86" spans="1:2" x14ac:dyDescent="0.15">
      <c r="A86" s="11"/>
      <c r="B86" s="11"/>
    </row>
    <row r="87" spans="1:2" x14ac:dyDescent="0.15">
      <c r="A87" s="11"/>
      <c r="B87" s="11"/>
    </row>
    <row r="88" spans="1:2" x14ac:dyDescent="0.15">
      <c r="A88" s="11"/>
      <c r="B88" s="11"/>
    </row>
    <row r="89" spans="1:2" x14ac:dyDescent="0.15">
      <c r="A89" s="11"/>
      <c r="B89" s="11"/>
    </row>
    <row r="90" spans="1:2" x14ac:dyDescent="0.15">
      <c r="A90" s="11"/>
      <c r="B90" s="11"/>
    </row>
    <row r="91" spans="1:2" x14ac:dyDescent="0.15">
      <c r="A91" s="11"/>
      <c r="B91" s="11"/>
    </row>
    <row r="92" spans="1:2" x14ac:dyDescent="0.15">
      <c r="A92" s="11"/>
      <c r="B92" s="11"/>
    </row>
    <row r="93" spans="1:2" x14ac:dyDescent="0.15">
      <c r="A93" s="11"/>
      <c r="B93" s="11"/>
    </row>
    <row r="94" spans="1:2" x14ac:dyDescent="0.15">
      <c r="A94" s="11"/>
      <c r="B94" s="11"/>
    </row>
    <row r="95" spans="1:2" x14ac:dyDescent="0.15">
      <c r="A95" s="11"/>
      <c r="B95" s="11"/>
    </row>
    <row r="96" spans="1:2" x14ac:dyDescent="0.15">
      <c r="A96" s="11"/>
      <c r="B96" s="11"/>
    </row>
    <row r="97" spans="1:2" x14ac:dyDescent="0.15">
      <c r="A97" s="11"/>
      <c r="B97" s="11"/>
    </row>
    <row r="98" spans="1:2" x14ac:dyDescent="0.15">
      <c r="A98" s="11"/>
      <c r="B98" s="11"/>
    </row>
    <row r="99" spans="1:2" x14ac:dyDescent="0.15">
      <c r="A99" s="11"/>
      <c r="B99" s="11"/>
    </row>
    <row r="100" spans="1:2" x14ac:dyDescent="0.15">
      <c r="A100" s="11"/>
      <c r="B100" s="11"/>
    </row>
    <row r="101" spans="1:2" x14ac:dyDescent="0.15">
      <c r="A101" s="11"/>
      <c r="B101" s="11"/>
    </row>
    <row r="102" spans="1:2" x14ac:dyDescent="0.15">
      <c r="A102" s="11"/>
      <c r="B102" s="11"/>
    </row>
    <row r="103" spans="1:2" x14ac:dyDescent="0.15">
      <c r="A103" s="11"/>
      <c r="B103" s="11"/>
    </row>
    <row r="104" spans="1:2" x14ac:dyDescent="0.15">
      <c r="A104" s="11"/>
      <c r="B104" s="11"/>
    </row>
    <row r="105" spans="1:2" x14ac:dyDescent="0.15">
      <c r="A105" s="11"/>
      <c r="B105" s="11"/>
    </row>
    <row r="106" spans="1:2" x14ac:dyDescent="0.15">
      <c r="A106" s="11"/>
      <c r="B106" s="11"/>
    </row>
    <row r="107" spans="1:2" x14ac:dyDescent="0.15">
      <c r="A107" s="11"/>
      <c r="B107" s="11"/>
    </row>
    <row r="108" spans="1:2" x14ac:dyDescent="0.15">
      <c r="A108" s="11"/>
      <c r="B108" s="11"/>
    </row>
    <row r="109" spans="1:2" x14ac:dyDescent="0.15">
      <c r="A109" s="11"/>
      <c r="B109" s="11"/>
    </row>
    <row r="110" spans="1:2" x14ac:dyDescent="0.15">
      <c r="A110" s="11"/>
      <c r="B110" s="11"/>
    </row>
    <row r="111" spans="1:2" x14ac:dyDescent="0.15">
      <c r="A111" s="11"/>
      <c r="B111" s="11"/>
    </row>
    <row r="112" spans="1:2" x14ac:dyDescent="0.15">
      <c r="A112" s="11"/>
      <c r="B112" s="11"/>
    </row>
    <row r="113" spans="1:2" x14ac:dyDescent="0.15">
      <c r="A113" s="11"/>
      <c r="B113" s="11"/>
    </row>
    <row r="114" spans="1:2" x14ac:dyDescent="0.15">
      <c r="A114" s="11"/>
      <c r="B114" s="11"/>
    </row>
    <row r="115" spans="1:2" x14ac:dyDescent="0.15">
      <c r="A115" s="11"/>
      <c r="B115" s="11"/>
    </row>
    <row r="116" spans="1:2" x14ac:dyDescent="0.15">
      <c r="A116" s="11"/>
      <c r="B116" s="11"/>
    </row>
    <row r="117" spans="1:2" x14ac:dyDescent="0.15">
      <c r="A117" s="11"/>
      <c r="B117" s="11"/>
    </row>
    <row r="118" spans="1:2" x14ac:dyDescent="0.15">
      <c r="A118" s="11"/>
      <c r="B118" s="11"/>
    </row>
    <row r="119" spans="1:2" x14ac:dyDescent="0.15">
      <c r="A119" s="11"/>
      <c r="B119" s="11"/>
    </row>
    <row r="120" spans="1:2" x14ac:dyDescent="0.15">
      <c r="A120" s="11"/>
      <c r="B120" s="11"/>
    </row>
    <row r="121" spans="1:2" x14ac:dyDescent="0.15">
      <c r="A121" s="11"/>
      <c r="B121" s="11"/>
    </row>
    <row r="122" spans="1:2" x14ac:dyDescent="0.15">
      <c r="A122" s="11"/>
      <c r="B122" s="11"/>
    </row>
    <row r="123" spans="1:2" x14ac:dyDescent="0.15">
      <c r="A123" s="11"/>
      <c r="B123" s="11"/>
    </row>
    <row r="124" spans="1:2" x14ac:dyDescent="0.15">
      <c r="A124" s="11"/>
      <c r="B124" s="11"/>
    </row>
    <row r="125" spans="1:2" x14ac:dyDescent="0.15">
      <c r="A125" s="11"/>
      <c r="B125" s="11"/>
    </row>
    <row r="126" spans="1:2" x14ac:dyDescent="0.15">
      <c r="A126" s="11"/>
      <c r="B126" s="11"/>
    </row>
    <row r="127" spans="1:2" x14ac:dyDescent="0.15">
      <c r="A127" s="11"/>
      <c r="B127" s="11"/>
    </row>
    <row r="128" spans="1:2" x14ac:dyDescent="0.15">
      <c r="A128" s="11"/>
      <c r="B128" s="11"/>
    </row>
    <row r="129" spans="1:2" x14ac:dyDescent="0.15">
      <c r="A129" s="11"/>
      <c r="B129" s="11"/>
    </row>
    <row r="130" spans="1:2" x14ac:dyDescent="0.15">
      <c r="A130" s="11"/>
      <c r="B130" s="11"/>
    </row>
    <row r="131" spans="1:2" x14ac:dyDescent="0.15">
      <c r="A131" s="11"/>
      <c r="B131" s="11"/>
    </row>
    <row r="132" spans="1:2" x14ac:dyDescent="0.15">
      <c r="A132" s="11"/>
      <c r="B132" s="11"/>
    </row>
    <row r="133" spans="1:2" x14ac:dyDescent="0.15">
      <c r="A133" s="11"/>
      <c r="B133" s="11"/>
    </row>
    <row r="134" spans="1:2" x14ac:dyDescent="0.15">
      <c r="A134" s="11"/>
      <c r="B134" s="11"/>
    </row>
    <row r="135" spans="1:2" x14ac:dyDescent="0.15">
      <c r="A135" s="11"/>
      <c r="B135" s="11"/>
    </row>
    <row r="136" spans="1:2" x14ac:dyDescent="0.15">
      <c r="A136" s="11"/>
      <c r="B136" s="11"/>
    </row>
    <row r="137" spans="1:2" x14ac:dyDescent="0.15">
      <c r="A137" s="11"/>
      <c r="B137" s="11"/>
    </row>
    <row r="138" spans="1:2" x14ac:dyDescent="0.15">
      <c r="A138" s="11"/>
      <c r="B138" s="11"/>
    </row>
    <row r="139" spans="1:2" x14ac:dyDescent="0.15">
      <c r="A139" s="11"/>
      <c r="B139" s="11"/>
    </row>
    <row r="140" spans="1:2" x14ac:dyDescent="0.15">
      <c r="A140" s="11"/>
      <c r="B140" s="11"/>
    </row>
    <row r="141" spans="1:2" x14ac:dyDescent="0.15">
      <c r="A141" s="11"/>
      <c r="B141" s="11"/>
    </row>
    <row r="142" spans="1:2" x14ac:dyDescent="0.15">
      <c r="A142" s="11"/>
      <c r="B142" s="11"/>
    </row>
    <row r="143" spans="1:2" x14ac:dyDescent="0.15">
      <c r="A143" s="11"/>
      <c r="B143" s="11"/>
    </row>
    <row r="144" spans="1:2" x14ac:dyDescent="0.15">
      <c r="A144" s="11"/>
      <c r="B144" s="11"/>
    </row>
    <row r="145" spans="1:2" x14ac:dyDescent="0.15">
      <c r="A145" s="11"/>
      <c r="B145" s="11"/>
    </row>
    <row r="146" spans="1:2" x14ac:dyDescent="0.15">
      <c r="A146" s="11"/>
      <c r="B146" s="11"/>
    </row>
    <row r="147" spans="1:2" x14ac:dyDescent="0.15">
      <c r="A147" s="11"/>
      <c r="B147" s="11"/>
    </row>
    <row r="148" spans="1:2" x14ac:dyDescent="0.15">
      <c r="A148" s="11"/>
      <c r="B148" s="11"/>
    </row>
    <row r="149" spans="1:2" x14ac:dyDescent="0.15">
      <c r="A149" s="11"/>
      <c r="B149" s="11"/>
    </row>
    <row r="150" spans="1:2" x14ac:dyDescent="0.15">
      <c r="A150" s="11"/>
      <c r="B150" s="11"/>
    </row>
    <row r="151" spans="1:2" x14ac:dyDescent="0.15">
      <c r="A151" s="11"/>
      <c r="B151" s="11"/>
    </row>
    <row r="152" spans="1:2" x14ac:dyDescent="0.15">
      <c r="A152" s="11"/>
      <c r="B152" s="11"/>
    </row>
    <row r="153" spans="1:2" x14ac:dyDescent="0.15">
      <c r="A153" s="11"/>
      <c r="B153" s="11"/>
    </row>
    <row r="154" spans="1:2" x14ac:dyDescent="0.15">
      <c r="A154" s="11"/>
      <c r="B154" s="11"/>
    </row>
    <row r="155" spans="1:2" x14ac:dyDescent="0.15">
      <c r="A155" s="11"/>
      <c r="B155" s="11"/>
    </row>
    <row r="156" spans="1:2" x14ac:dyDescent="0.15">
      <c r="A156" s="11"/>
      <c r="B156" s="11"/>
    </row>
    <row r="157" spans="1:2" x14ac:dyDescent="0.15">
      <c r="A157" s="11"/>
      <c r="B157" s="11"/>
    </row>
    <row r="158" spans="1:2" x14ac:dyDescent="0.15">
      <c r="A158" s="11"/>
      <c r="B158" s="11"/>
    </row>
    <row r="159" spans="1:2" x14ac:dyDescent="0.15">
      <c r="A159" s="11"/>
      <c r="B159" s="11"/>
    </row>
    <row r="160" spans="1:2" x14ac:dyDescent="0.15">
      <c r="A160" s="11"/>
      <c r="B160" s="11"/>
    </row>
    <row r="161" spans="1:2" x14ac:dyDescent="0.15">
      <c r="A161" s="11"/>
      <c r="B161" s="11"/>
    </row>
    <row r="162" spans="1:2" x14ac:dyDescent="0.15">
      <c r="A162" s="11"/>
      <c r="B162" s="11"/>
    </row>
    <row r="163" spans="1:2" x14ac:dyDescent="0.15">
      <c r="A163" s="11"/>
      <c r="B163" s="11"/>
    </row>
    <row r="164" spans="1:2" x14ac:dyDescent="0.15">
      <c r="A164" s="11"/>
      <c r="B164" s="11"/>
    </row>
    <row r="165" spans="1:2" x14ac:dyDescent="0.15">
      <c r="A165" s="11"/>
      <c r="B165" s="11"/>
    </row>
    <row r="166" spans="1:2" x14ac:dyDescent="0.15">
      <c r="A166" s="11"/>
      <c r="B166" s="11"/>
    </row>
    <row r="167" spans="1:2" x14ac:dyDescent="0.15">
      <c r="A167" s="11"/>
      <c r="B167" s="11"/>
    </row>
    <row r="168" spans="1:2" x14ac:dyDescent="0.15">
      <c r="A168" s="11"/>
      <c r="B168" s="11"/>
    </row>
    <row r="169" spans="1:2" x14ac:dyDescent="0.15">
      <c r="A169" s="11"/>
      <c r="B169" s="11"/>
    </row>
    <row r="170" spans="1:2" x14ac:dyDescent="0.15">
      <c r="A170" s="11"/>
      <c r="B170" s="11"/>
    </row>
    <row r="171" spans="1:2" x14ac:dyDescent="0.15">
      <c r="A171" s="11"/>
      <c r="B171" s="11"/>
    </row>
    <row r="172" spans="1:2" x14ac:dyDescent="0.15">
      <c r="A172" s="11"/>
      <c r="B172" s="11"/>
    </row>
    <row r="173" spans="1:2" x14ac:dyDescent="0.15">
      <c r="A173" s="11"/>
      <c r="B173" s="11"/>
    </row>
    <row r="174" spans="1:2" x14ac:dyDescent="0.15">
      <c r="A174" s="11"/>
      <c r="B174" s="11"/>
    </row>
    <row r="175" spans="1:2" x14ac:dyDescent="0.15">
      <c r="A175" s="11"/>
      <c r="B175" s="11"/>
    </row>
    <row r="176" spans="1:2" x14ac:dyDescent="0.15">
      <c r="A176" s="11"/>
      <c r="B176" s="11"/>
    </row>
    <row r="177" spans="1:2" x14ac:dyDescent="0.15">
      <c r="A177" s="11"/>
      <c r="B177" s="11"/>
    </row>
    <row r="178" spans="1:2" x14ac:dyDescent="0.15">
      <c r="A178" s="11"/>
      <c r="B178" s="11"/>
    </row>
    <row r="179" spans="1:2" x14ac:dyDescent="0.15">
      <c r="A179" s="11"/>
      <c r="B179" s="11"/>
    </row>
    <row r="180" spans="1:2" x14ac:dyDescent="0.15">
      <c r="A180" s="11"/>
      <c r="B180" s="11"/>
    </row>
    <row r="181" spans="1:2" x14ac:dyDescent="0.15">
      <c r="A181" s="11"/>
      <c r="B181" s="11"/>
    </row>
    <row r="182" spans="1:2" x14ac:dyDescent="0.15">
      <c r="A182" s="11"/>
      <c r="B182" s="11"/>
    </row>
    <row r="183" spans="1:2" x14ac:dyDescent="0.15">
      <c r="A183" s="11"/>
      <c r="B183" s="11"/>
    </row>
    <row r="184" spans="1:2" x14ac:dyDescent="0.15">
      <c r="A184" s="11"/>
      <c r="B184" s="11"/>
    </row>
    <row r="185" spans="1:2" x14ac:dyDescent="0.15">
      <c r="A185" s="11"/>
      <c r="B185" s="11"/>
    </row>
    <row r="186" spans="1:2" x14ac:dyDescent="0.15">
      <c r="A186" s="11"/>
      <c r="B186" s="11"/>
    </row>
    <row r="187" spans="1:2" x14ac:dyDescent="0.15">
      <c r="A187" s="11"/>
      <c r="B187" s="11"/>
    </row>
    <row r="188" spans="1:2" x14ac:dyDescent="0.15">
      <c r="A188" s="11"/>
      <c r="B188" s="11"/>
    </row>
    <row r="189" spans="1:2" x14ac:dyDescent="0.15">
      <c r="A189" s="11"/>
      <c r="B189" s="11"/>
    </row>
    <row r="190" spans="1:2" x14ac:dyDescent="0.15">
      <c r="A190" s="11"/>
      <c r="B190" s="11"/>
    </row>
    <row r="191" spans="1:2" x14ac:dyDescent="0.15">
      <c r="A191" s="11"/>
      <c r="B191" s="11"/>
    </row>
    <row r="192" spans="1:2" x14ac:dyDescent="0.15">
      <c r="A192" s="11"/>
      <c r="B192" s="11"/>
    </row>
    <row r="193" spans="1:2" x14ac:dyDescent="0.15">
      <c r="A193" s="11"/>
      <c r="B193" s="11"/>
    </row>
    <row r="194" spans="1:2" x14ac:dyDescent="0.15">
      <c r="A194" s="11"/>
      <c r="B194" s="11"/>
    </row>
    <row r="195" spans="1:2" x14ac:dyDescent="0.15">
      <c r="A195" s="11"/>
      <c r="B195" s="11"/>
    </row>
    <row r="196" spans="1:2" x14ac:dyDescent="0.15">
      <c r="A196" s="11"/>
      <c r="B196" s="11"/>
    </row>
    <row r="197" spans="1:2" x14ac:dyDescent="0.15">
      <c r="A197" s="11"/>
      <c r="B197" s="11"/>
    </row>
    <row r="198" spans="1:2" x14ac:dyDescent="0.15">
      <c r="A198" s="11"/>
      <c r="B198" s="11"/>
    </row>
    <row r="199" spans="1:2" x14ac:dyDescent="0.15">
      <c r="A199" s="11"/>
      <c r="B199" s="11"/>
    </row>
    <row r="200" spans="1:2" x14ac:dyDescent="0.15">
      <c r="A200" s="11"/>
      <c r="B200" s="11"/>
    </row>
    <row r="201" spans="1:2" x14ac:dyDescent="0.15">
      <c r="A201" s="11"/>
      <c r="B201" s="11"/>
    </row>
    <row r="202" spans="1:2" x14ac:dyDescent="0.15">
      <c r="A202" s="11"/>
      <c r="B202" s="11"/>
    </row>
    <row r="203" spans="1:2" x14ac:dyDescent="0.15">
      <c r="A203" s="11"/>
      <c r="B203" s="11"/>
    </row>
    <row r="204" spans="1:2" x14ac:dyDescent="0.15">
      <c r="A204" s="11"/>
      <c r="B204" s="11"/>
    </row>
    <row r="205" spans="1:2" x14ac:dyDescent="0.15">
      <c r="A205" s="11"/>
      <c r="B205" s="11"/>
    </row>
    <row r="206" spans="1:2" x14ac:dyDescent="0.15">
      <c r="A206" s="11"/>
      <c r="B206" s="11"/>
    </row>
    <row r="207" spans="1:2" x14ac:dyDescent="0.15">
      <c r="A207" s="11"/>
      <c r="B207" s="11"/>
    </row>
    <row r="208" spans="1:2" x14ac:dyDescent="0.15">
      <c r="A208" s="11"/>
      <c r="B208" s="11"/>
    </row>
    <row r="209" spans="1:2" x14ac:dyDescent="0.15">
      <c r="A209" s="11"/>
      <c r="B209" s="11"/>
    </row>
    <row r="210" spans="1:2" x14ac:dyDescent="0.15">
      <c r="A210" s="11"/>
      <c r="B210" s="11"/>
    </row>
    <row r="211" spans="1:2" x14ac:dyDescent="0.15">
      <c r="A211" s="11"/>
      <c r="B211" s="11"/>
    </row>
    <row r="212" spans="1:2" x14ac:dyDescent="0.15">
      <c r="A212" s="11"/>
      <c r="B212" s="11"/>
    </row>
    <row r="213" spans="1:2" x14ac:dyDescent="0.15">
      <c r="A213" s="11"/>
      <c r="B213" s="11"/>
    </row>
    <row r="214" spans="1:2" x14ac:dyDescent="0.15">
      <c r="A214" s="11"/>
      <c r="B214" s="11"/>
    </row>
    <row r="215" spans="1:2" x14ac:dyDescent="0.15">
      <c r="A215" s="11"/>
      <c r="B215" s="11"/>
    </row>
    <row r="216" spans="1:2" x14ac:dyDescent="0.15">
      <c r="A216" s="11"/>
      <c r="B216" s="11"/>
    </row>
    <row r="217" spans="1:2" x14ac:dyDescent="0.15">
      <c r="A217" s="11"/>
      <c r="B217" s="11"/>
    </row>
    <row r="218" spans="1:2" x14ac:dyDescent="0.15">
      <c r="A218" s="11"/>
      <c r="B218" s="11"/>
    </row>
    <row r="219" spans="1:2" x14ac:dyDescent="0.15">
      <c r="A219" s="11"/>
      <c r="B219" s="11"/>
    </row>
    <row r="220" spans="1:2" x14ac:dyDescent="0.15">
      <c r="A220" s="11"/>
      <c r="B220" s="11"/>
    </row>
    <row r="221" spans="1:2" x14ac:dyDescent="0.15">
      <c r="A221" s="11"/>
      <c r="B221" s="11"/>
    </row>
    <row r="222" spans="1:2" x14ac:dyDescent="0.15">
      <c r="A222" s="11"/>
      <c r="B222" s="11"/>
    </row>
    <row r="223" spans="1:2" x14ac:dyDescent="0.15">
      <c r="A223" s="11"/>
      <c r="B223" s="11"/>
    </row>
    <row r="224" spans="1:2" x14ac:dyDescent="0.15">
      <c r="A224" s="11"/>
      <c r="B224" s="11"/>
    </row>
    <row r="225" spans="1:2" x14ac:dyDescent="0.15">
      <c r="A225" s="11"/>
      <c r="B225" s="11"/>
    </row>
    <row r="226" spans="1:2" x14ac:dyDescent="0.15">
      <c r="A226" s="11"/>
      <c r="B226" s="11"/>
    </row>
    <row r="227" spans="1:2" x14ac:dyDescent="0.15">
      <c r="A227" s="11"/>
      <c r="B227" s="11"/>
    </row>
    <row r="228" spans="1:2" x14ac:dyDescent="0.15">
      <c r="A228" s="11"/>
      <c r="B228" s="11"/>
    </row>
    <row r="229" spans="1:2" x14ac:dyDescent="0.15">
      <c r="A229" s="11"/>
      <c r="B229" s="11"/>
    </row>
    <row r="230" spans="1:2" x14ac:dyDescent="0.15">
      <c r="A230" s="11"/>
      <c r="B230" s="11"/>
    </row>
    <row r="231" spans="1:2" x14ac:dyDescent="0.15">
      <c r="A231" s="11"/>
      <c r="B231" s="11"/>
    </row>
    <row r="232" spans="1:2" x14ac:dyDescent="0.15">
      <c r="A232" s="11"/>
      <c r="B232" s="11"/>
    </row>
    <row r="233" spans="1:2" x14ac:dyDescent="0.15">
      <c r="A233" s="11"/>
      <c r="B233" s="11"/>
    </row>
    <row r="234" spans="1:2" x14ac:dyDescent="0.15">
      <c r="A234" s="11"/>
      <c r="B234" s="11"/>
    </row>
    <row r="235" spans="1:2" x14ac:dyDescent="0.15">
      <c r="A235" s="11"/>
      <c r="B235" s="11"/>
    </row>
    <row r="236" spans="1:2" x14ac:dyDescent="0.15">
      <c r="A236" s="11"/>
      <c r="B236" s="11"/>
    </row>
    <row r="237" spans="1:2" x14ac:dyDescent="0.15">
      <c r="A237" s="11"/>
      <c r="B237" s="11"/>
    </row>
    <row r="238" spans="1:2" x14ac:dyDescent="0.15">
      <c r="A238" s="11"/>
      <c r="B238" s="11"/>
    </row>
    <row r="239" spans="1:2" x14ac:dyDescent="0.15">
      <c r="A239" s="11"/>
      <c r="B239" s="11"/>
    </row>
    <row r="240" spans="1:2" x14ac:dyDescent="0.15">
      <c r="A240" s="11"/>
      <c r="B240" s="11"/>
    </row>
    <row r="241" spans="1:2" x14ac:dyDescent="0.15">
      <c r="A241" s="11"/>
      <c r="B241" s="11"/>
    </row>
    <row r="242" spans="1:2" x14ac:dyDescent="0.15">
      <c r="A242" s="11"/>
      <c r="B242" s="11"/>
    </row>
    <row r="243" spans="1:2" x14ac:dyDescent="0.15">
      <c r="A243" s="11"/>
      <c r="B243" s="11"/>
    </row>
    <row r="244" spans="1:2" x14ac:dyDescent="0.15">
      <c r="A244" s="11"/>
      <c r="B244" s="11"/>
    </row>
    <row r="245" spans="1:2" x14ac:dyDescent="0.15">
      <c r="A245" s="11"/>
      <c r="B245" s="11"/>
    </row>
    <row r="246" spans="1:2" x14ac:dyDescent="0.15">
      <c r="A246" s="11"/>
      <c r="B246" s="11"/>
    </row>
    <row r="247" spans="1:2" x14ac:dyDescent="0.15">
      <c r="A247" s="11"/>
      <c r="B247" s="11"/>
    </row>
    <row r="248" spans="1:2" x14ac:dyDescent="0.15">
      <c r="A248" s="11"/>
      <c r="B248" s="11"/>
    </row>
    <row r="249" spans="1:2" x14ac:dyDescent="0.15">
      <c r="A249" s="11"/>
      <c r="B249" s="11"/>
    </row>
    <row r="250" spans="1:2" x14ac:dyDescent="0.15">
      <c r="A250" s="11"/>
      <c r="B250" s="11"/>
    </row>
    <row r="251" spans="1:2" x14ac:dyDescent="0.15">
      <c r="A251" s="11"/>
      <c r="B251" s="11"/>
    </row>
    <row r="252" spans="1:2" x14ac:dyDescent="0.15">
      <c r="A252" s="11"/>
      <c r="B252" s="11"/>
    </row>
    <row r="253" spans="1:2" x14ac:dyDescent="0.15">
      <c r="A253" s="11"/>
      <c r="B253" s="11"/>
    </row>
    <row r="254" spans="1:2" x14ac:dyDescent="0.15">
      <c r="A254" s="11"/>
      <c r="B254" s="11"/>
    </row>
    <row r="255" spans="1:2" x14ac:dyDescent="0.15">
      <c r="A255" s="11"/>
      <c r="B255" s="11"/>
    </row>
    <row r="256" spans="1:2" x14ac:dyDescent="0.15">
      <c r="A256" s="11"/>
      <c r="B256" s="11"/>
    </row>
    <row r="257" spans="1:2" x14ac:dyDescent="0.15">
      <c r="A257" s="11"/>
      <c r="B257" s="11"/>
    </row>
    <row r="258" spans="1:2" x14ac:dyDescent="0.15">
      <c r="A258" s="11"/>
      <c r="B258" s="11"/>
    </row>
    <row r="259" spans="1:2" x14ac:dyDescent="0.15">
      <c r="A259" s="11"/>
      <c r="B259" s="11"/>
    </row>
    <row r="260" spans="1:2" x14ac:dyDescent="0.15">
      <c r="A260" s="11"/>
      <c r="B260" s="11"/>
    </row>
    <row r="261" spans="1:2" x14ac:dyDescent="0.15">
      <c r="A261" s="11"/>
      <c r="B261" s="11"/>
    </row>
    <row r="262" spans="1:2" x14ac:dyDescent="0.15">
      <c r="A262" s="11"/>
      <c r="B262" s="11"/>
    </row>
    <row r="263" spans="1:2" x14ac:dyDescent="0.15">
      <c r="A263" s="11"/>
      <c r="B263" s="11"/>
    </row>
    <row r="264" spans="1:2" x14ac:dyDescent="0.15">
      <c r="A264" s="11"/>
      <c r="B264" s="11"/>
    </row>
    <row r="265" spans="1:2" x14ac:dyDescent="0.15">
      <c r="A265" s="11"/>
      <c r="B265" s="11"/>
    </row>
    <row r="266" spans="1:2" x14ac:dyDescent="0.15">
      <c r="A266" s="11"/>
      <c r="B266" s="11"/>
    </row>
    <row r="267" spans="1:2" x14ac:dyDescent="0.15">
      <c r="A267" s="11"/>
      <c r="B267" s="11"/>
    </row>
    <row r="268" spans="1:2" x14ac:dyDescent="0.15">
      <c r="A268" s="11"/>
      <c r="B268" s="11"/>
    </row>
    <row r="269" spans="1:2" x14ac:dyDescent="0.15">
      <c r="A269" s="11"/>
      <c r="B269" s="11"/>
    </row>
    <row r="270" spans="1:2" x14ac:dyDescent="0.15">
      <c r="A270" s="11"/>
      <c r="B270" s="11"/>
    </row>
    <row r="271" spans="1:2" x14ac:dyDescent="0.15">
      <c r="A271" s="11"/>
      <c r="B271" s="11"/>
    </row>
    <row r="272" spans="1:2" x14ac:dyDescent="0.15">
      <c r="A272" s="11"/>
      <c r="B272" s="11"/>
    </row>
    <row r="273" spans="1:2" x14ac:dyDescent="0.15">
      <c r="A273" s="11"/>
      <c r="B273" s="11"/>
    </row>
    <row r="274" spans="1:2" x14ac:dyDescent="0.15">
      <c r="A274" s="11"/>
      <c r="B274" s="11"/>
    </row>
    <row r="275" spans="1:2" x14ac:dyDescent="0.15">
      <c r="A275" s="11"/>
      <c r="B275" s="11"/>
    </row>
    <row r="276" spans="1:2" x14ac:dyDescent="0.15">
      <c r="A276" s="11"/>
      <c r="B276" s="11"/>
    </row>
    <row r="277" spans="1:2" x14ac:dyDescent="0.15">
      <c r="A277" s="11"/>
      <c r="B277" s="11"/>
    </row>
    <row r="278" spans="1:2" x14ac:dyDescent="0.15">
      <c r="A278" s="11"/>
      <c r="B278" s="11"/>
    </row>
    <row r="279" spans="1:2" x14ac:dyDescent="0.15">
      <c r="A279" s="11"/>
      <c r="B279" s="11"/>
    </row>
    <row r="280" spans="1:2" x14ac:dyDescent="0.15">
      <c r="A280" s="11"/>
      <c r="B280" s="11"/>
    </row>
    <row r="281" spans="1:2" x14ac:dyDescent="0.15">
      <c r="A281" s="11"/>
      <c r="B281" s="11"/>
    </row>
    <row r="282" spans="1:2" x14ac:dyDescent="0.15">
      <c r="A282" s="11"/>
      <c r="B282" s="11"/>
    </row>
    <row r="283" spans="1:2" x14ac:dyDescent="0.15">
      <c r="A283" s="11"/>
      <c r="B283" s="11"/>
    </row>
    <row r="284" spans="1:2" x14ac:dyDescent="0.15">
      <c r="A284" s="11"/>
      <c r="B284" s="11"/>
    </row>
    <row r="285" spans="1:2" x14ac:dyDescent="0.15">
      <c r="A285" s="11"/>
      <c r="B285" s="11"/>
    </row>
    <row r="286" spans="1:2" x14ac:dyDescent="0.15">
      <c r="A286" s="11"/>
      <c r="B286" s="11"/>
    </row>
    <row r="287" spans="1:2" x14ac:dyDescent="0.15">
      <c r="A287" s="11"/>
      <c r="B287" s="11"/>
    </row>
    <row r="288" spans="1:2" x14ac:dyDescent="0.15">
      <c r="A288" s="11"/>
      <c r="B288" s="11"/>
    </row>
    <row r="289" spans="1:2" x14ac:dyDescent="0.15">
      <c r="A289" s="11"/>
      <c r="B289" s="11"/>
    </row>
    <row r="290" spans="1:2" x14ac:dyDescent="0.15">
      <c r="A290" s="11"/>
      <c r="B290" s="11"/>
    </row>
    <row r="291" spans="1:2" x14ac:dyDescent="0.15">
      <c r="A291" s="11"/>
      <c r="B291" s="11"/>
    </row>
    <row r="292" spans="1:2" x14ac:dyDescent="0.15">
      <c r="A292" s="11"/>
      <c r="B292" s="11"/>
    </row>
    <row r="293" spans="1:2" x14ac:dyDescent="0.15">
      <c r="A293" s="11"/>
      <c r="B293" s="11"/>
    </row>
    <row r="294" spans="1:2" x14ac:dyDescent="0.15">
      <c r="A294" s="11"/>
      <c r="B294" s="11"/>
    </row>
    <row r="295" spans="1:2" x14ac:dyDescent="0.15">
      <c r="A295" s="11"/>
      <c r="B295" s="11"/>
    </row>
    <row r="296" spans="1:2" x14ac:dyDescent="0.15">
      <c r="A296" s="11"/>
      <c r="B296" s="11"/>
    </row>
    <row r="297" spans="1:2" x14ac:dyDescent="0.15">
      <c r="A297" s="11"/>
      <c r="B297" s="11"/>
    </row>
    <row r="298" spans="1:2" x14ac:dyDescent="0.15">
      <c r="A298" s="11"/>
      <c r="B298" s="11"/>
    </row>
    <row r="299" spans="1:2" x14ac:dyDescent="0.15">
      <c r="A299" s="11"/>
      <c r="B299" s="11"/>
    </row>
    <row r="300" spans="1:2" x14ac:dyDescent="0.15">
      <c r="A300" s="11"/>
      <c r="B300" s="11"/>
    </row>
    <row r="301" spans="1:2" x14ac:dyDescent="0.15">
      <c r="A301" s="11"/>
      <c r="B301" s="11"/>
    </row>
    <row r="302" spans="1:2" x14ac:dyDescent="0.15">
      <c r="A302" s="11"/>
      <c r="B302" s="11"/>
    </row>
    <row r="303" spans="1:2" x14ac:dyDescent="0.15">
      <c r="A303" s="11"/>
      <c r="B303" s="11"/>
    </row>
    <row r="304" spans="1:2" x14ac:dyDescent="0.15">
      <c r="A304" s="11"/>
      <c r="B304" s="11"/>
    </row>
    <row r="305" spans="1:2" x14ac:dyDescent="0.15">
      <c r="A305" s="11"/>
      <c r="B305" s="11"/>
    </row>
    <row r="306" spans="1:2" x14ac:dyDescent="0.15">
      <c r="A306" s="11"/>
      <c r="B306" s="11"/>
    </row>
    <row r="307" spans="1:2" x14ac:dyDescent="0.15">
      <c r="A307" s="11"/>
      <c r="B307" s="11"/>
    </row>
    <row r="308" spans="1:2" x14ac:dyDescent="0.15">
      <c r="A308" s="11"/>
      <c r="B308" s="11"/>
    </row>
    <row r="309" spans="1:2" x14ac:dyDescent="0.15">
      <c r="A309" s="11"/>
      <c r="B309" s="11"/>
    </row>
    <row r="310" spans="1:2" x14ac:dyDescent="0.15">
      <c r="A310" s="11"/>
      <c r="B310" s="11"/>
    </row>
    <row r="311" spans="1:2" x14ac:dyDescent="0.15">
      <c r="A311" s="11"/>
      <c r="B311" s="11"/>
    </row>
    <row r="312" spans="1:2" x14ac:dyDescent="0.15">
      <c r="A312" s="11"/>
      <c r="B312" s="11"/>
    </row>
    <row r="313" spans="1:2" x14ac:dyDescent="0.15">
      <c r="A313" s="11"/>
      <c r="B313" s="11"/>
    </row>
    <row r="314" spans="1:2" x14ac:dyDescent="0.15">
      <c r="A314" s="11"/>
      <c r="B314" s="11"/>
    </row>
    <row r="315" spans="1:2" x14ac:dyDescent="0.15">
      <c r="A315" s="11"/>
      <c r="B315" s="11"/>
    </row>
    <row r="316" spans="1:2" x14ac:dyDescent="0.15">
      <c r="A316" s="11"/>
      <c r="B316" s="11"/>
    </row>
    <row r="317" spans="1:2" x14ac:dyDescent="0.15">
      <c r="A317" s="11"/>
      <c r="B317" s="11"/>
    </row>
    <row r="318" spans="1:2" x14ac:dyDescent="0.15">
      <c r="A318" s="11"/>
      <c r="B318" s="11"/>
    </row>
  </sheetData>
  <mergeCells count="2">
    <mergeCell ref="A1:B1"/>
    <mergeCell ref="A2:B2"/>
  </mergeCells>
  <pageMargins left="0.7" right="0.7" top="0.75" bottom="0.75" header="0.3" footer="0.3"/>
  <pageSetup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C44D9-A131-4B6B-B053-6E2B17F92E1B}">
  <sheetPr codeName="Feuil3"/>
  <dimension ref="A1:D83"/>
  <sheetViews>
    <sheetView workbookViewId="0">
      <pane xSplit="1" ySplit="2" topLeftCell="B59" activePane="bottomRight" state="frozen"/>
      <selection pane="topRight" activeCell="B1" sqref="B1"/>
      <selection pane="bottomLeft" activeCell="A3" sqref="A3"/>
      <selection pane="bottomRight" activeCell="D4" sqref="D4:D83"/>
    </sheetView>
  </sheetViews>
  <sheetFormatPr baseColWidth="10" defaultRowHeight="15" x14ac:dyDescent="0.2"/>
  <cols>
    <col min="1" max="1" width="42.5" bestFit="1" customWidth="1"/>
    <col min="2" max="2" width="16.1640625" bestFit="1" customWidth="1"/>
    <col min="3" max="3" width="27.1640625" bestFit="1" customWidth="1"/>
    <col min="4" max="4" width="25.1640625" bestFit="1" customWidth="1"/>
  </cols>
  <sheetData>
    <row r="1" spans="1:4" x14ac:dyDescent="0.2">
      <c r="A1" s="134" t="s">
        <v>49</v>
      </c>
      <c r="B1" s="134"/>
      <c r="C1" s="134"/>
      <c r="D1" s="134"/>
    </row>
    <row r="2" spans="1:4" ht="17" x14ac:dyDescent="0.2">
      <c r="A2" s="36" t="s">
        <v>45</v>
      </c>
      <c r="B2" s="37" t="s">
        <v>46</v>
      </c>
      <c r="C2" s="37" t="s">
        <v>47</v>
      </c>
      <c r="D2" s="37" t="s">
        <v>48</v>
      </c>
    </row>
    <row r="3" spans="1:4" x14ac:dyDescent="0.2">
      <c r="A3" s="36">
        <v>0</v>
      </c>
      <c r="B3" s="38">
        <v>0</v>
      </c>
      <c r="C3" s="38">
        <v>0</v>
      </c>
      <c r="D3" s="38">
        <v>0</v>
      </c>
    </row>
    <row r="4" spans="1:4" x14ac:dyDescent="0.2">
      <c r="A4" s="36">
        <v>1</v>
      </c>
      <c r="B4" s="38">
        <v>2099.9619337647505</v>
      </c>
      <c r="C4" s="38">
        <v>299.88372791040001</v>
      </c>
      <c r="D4" s="38">
        <f>A4*25.84</f>
        <v>25.84</v>
      </c>
    </row>
    <row r="5" spans="1:4" x14ac:dyDescent="0.2">
      <c r="A5" s="36">
        <v>2</v>
      </c>
      <c r="B5" s="38">
        <v>2099.9619337647505</v>
      </c>
      <c r="C5" s="38">
        <v>299.88372791040001</v>
      </c>
      <c r="D5" s="38">
        <f t="shared" ref="D5:D68" si="0">A5*25.84</f>
        <v>51.68</v>
      </c>
    </row>
    <row r="6" spans="1:4" x14ac:dyDescent="0.2">
      <c r="A6" s="36">
        <v>3</v>
      </c>
      <c r="B6" s="38">
        <v>2099.9619337647505</v>
      </c>
      <c r="C6" s="38">
        <v>299.88372791040001</v>
      </c>
      <c r="D6" s="38">
        <f t="shared" si="0"/>
        <v>77.52</v>
      </c>
    </row>
    <row r="7" spans="1:4" x14ac:dyDescent="0.2">
      <c r="A7" s="36">
        <v>4</v>
      </c>
      <c r="B7" s="38">
        <v>2099.9619337647505</v>
      </c>
      <c r="C7" s="38">
        <v>299.88372791040001</v>
      </c>
      <c r="D7" s="38">
        <f t="shared" si="0"/>
        <v>103.36</v>
      </c>
    </row>
    <row r="8" spans="1:4" x14ac:dyDescent="0.2">
      <c r="A8" s="36">
        <v>5</v>
      </c>
      <c r="B8" s="38">
        <v>2099.9619337647505</v>
      </c>
      <c r="C8" s="38">
        <v>299.88372791040001</v>
      </c>
      <c r="D8" s="38">
        <f t="shared" si="0"/>
        <v>129.19999999999999</v>
      </c>
    </row>
    <row r="9" spans="1:4" x14ac:dyDescent="0.2">
      <c r="A9" s="36">
        <v>6</v>
      </c>
      <c r="B9" s="38">
        <v>2099.9619337647505</v>
      </c>
      <c r="C9" s="38">
        <v>299.88372791040001</v>
      </c>
      <c r="D9" s="38">
        <f t="shared" si="0"/>
        <v>155.04</v>
      </c>
    </row>
    <row r="10" spans="1:4" x14ac:dyDescent="0.2">
      <c r="A10" s="36">
        <v>7</v>
      </c>
      <c r="B10" s="38">
        <v>2099.9619337647505</v>
      </c>
      <c r="C10" s="38">
        <v>299.88372791040001</v>
      </c>
      <c r="D10" s="38">
        <f t="shared" si="0"/>
        <v>180.88</v>
      </c>
    </row>
    <row r="11" spans="1:4" x14ac:dyDescent="0.2">
      <c r="A11" s="36">
        <v>8</v>
      </c>
      <c r="B11" s="38">
        <v>2099.9619337647505</v>
      </c>
      <c r="C11" s="38">
        <v>299.88372791040001</v>
      </c>
      <c r="D11" s="38">
        <f t="shared" si="0"/>
        <v>206.72</v>
      </c>
    </row>
    <row r="12" spans="1:4" x14ac:dyDescent="0.2">
      <c r="A12" s="36">
        <v>9</v>
      </c>
      <c r="B12" s="38">
        <v>2099.9619337647505</v>
      </c>
      <c r="C12" s="38">
        <v>299.88372791040001</v>
      </c>
      <c r="D12" s="38">
        <f t="shared" si="0"/>
        <v>232.56</v>
      </c>
    </row>
    <row r="13" spans="1:4" x14ac:dyDescent="0.2">
      <c r="A13" s="36">
        <v>10</v>
      </c>
      <c r="B13" s="38">
        <v>2099.9619337647505</v>
      </c>
      <c r="C13" s="38">
        <v>299.88372791040001</v>
      </c>
      <c r="D13" s="38">
        <f t="shared" si="0"/>
        <v>258.39999999999998</v>
      </c>
    </row>
    <row r="14" spans="1:4" x14ac:dyDescent="0.2">
      <c r="A14" s="36">
        <v>11</v>
      </c>
      <c r="B14" s="38">
        <v>2099.9619337647505</v>
      </c>
      <c r="C14" s="38">
        <v>299.88372791040001</v>
      </c>
      <c r="D14" s="38">
        <f t="shared" si="0"/>
        <v>284.24</v>
      </c>
    </row>
    <row r="15" spans="1:4" x14ac:dyDescent="0.2">
      <c r="A15" s="36">
        <v>12</v>
      </c>
      <c r="B15" s="38">
        <v>2099.9619337647505</v>
      </c>
      <c r="C15" s="38">
        <v>299.88372791040001</v>
      </c>
      <c r="D15" s="38">
        <f t="shared" si="0"/>
        <v>310.08</v>
      </c>
    </row>
    <row r="16" spans="1:4" x14ac:dyDescent="0.2">
      <c r="A16" s="36">
        <v>13</v>
      </c>
      <c r="B16" s="38">
        <v>2099.9619337647505</v>
      </c>
      <c r="C16" s="38">
        <v>299.88372791040001</v>
      </c>
      <c r="D16" s="38">
        <f t="shared" si="0"/>
        <v>335.92</v>
      </c>
    </row>
    <row r="17" spans="1:4" x14ac:dyDescent="0.2">
      <c r="A17" s="36">
        <v>14</v>
      </c>
      <c r="B17" s="38">
        <v>2099.9619337647505</v>
      </c>
      <c r="C17" s="38">
        <v>299.88372791040001</v>
      </c>
      <c r="D17" s="38">
        <f t="shared" si="0"/>
        <v>361.76</v>
      </c>
    </row>
    <row r="18" spans="1:4" x14ac:dyDescent="0.2">
      <c r="A18" s="36">
        <v>15</v>
      </c>
      <c r="B18" s="38">
        <v>2099.9619337647505</v>
      </c>
      <c r="C18" s="38">
        <v>299.88372791040001</v>
      </c>
      <c r="D18" s="38">
        <f t="shared" si="0"/>
        <v>387.6</v>
      </c>
    </row>
    <row r="19" spans="1:4" x14ac:dyDescent="0.2">
      <c r="A19" s="36">
        <v>16</v>
      </c>
      <c r="B19" s="38">
        <v>2099.9619337647505</v>
      </c>
      <c r="C19" s="38">
        <v>299.88372791040001</v>
      </c>
      <c r="D19" s="38">
        <f t="shared" si="0"/>
        <v>413.44</v>
      </c>
    </row>
    <row r="20" spans="1:4" x14ac:dyDescent="0.2">
      <c r="A20" s="36">
        <v>17</v>
      </c>
      <c r="B20" s="38">
        <v>2099.9619337647505</v>
      </c>
      <c r="C20" s="38">
        <v>299.88372791040001</v>
      </c>
      <c r="D20" s="38">
        <f t="shared" si="0"/>
        <v>439.28</v>
      </c>
    </row>
    <row r="21" spans="1:4" x14ac:dyDescent="0.2">
      <c r="A21" s="36">
        <v>18</v>
      </c>
      <c r="B21" s="38">
        <v>2099.9619337647505</v>
      </c>
      <c r="C21" s="38">
        <v>299.88372791040001</v>
      </c>
      <c r="D21" s="38">
        <f t="shared" si="0"/>
        <v>465.12</v>
      </c>
    </row>
    <row r="22" spans="1:4" x14ac:dyDescent="0.2">
      <c r="A22" s="36">
        <v>19</v>
      </c>
      <c r="B22" s="38">
        <v>2099.9619337647505</v>
      </c>
      <c r="C22" s="38">
        <v>299.88372791040001</v>
      </c>
      <c r="D22" s="38">
        <f t="shared" si="0"/>
        <v>490.96</v>
      </c>
    </row>
    <row r="23" spans="1:4" x14ac:dyDescent="0.2">
      <c r="A23" s="36">
        <v>20</v>
      </c>
      <c r="B23" s="38">
        <v>2169.2995812714121</v>
      </c>
      <c r="C23" s="38">
        <v>399.82559487560002</v>
      </c>
      <c r="D23" s="38">
        <f t="shared" si="0"/>
        <v>516.79999999999995</v>
      </c>
    </row>
    <row r="24" spans="1:4" x14ac:dyDescent="0.2">
      <c r="A24" s="36">
        <v>21</v>
      </c>
      <c r="B24" s="38">
        <v>2238.6372287780737</v>
      </c>
      <c r="C24" s="38">
        <v>399.82559487560002</v>
      </c>
      <c r="D24" s="38">
        <f t="shared" si="0"/>
        <v>542.64</v>
      </c>
    </row>
    <row r="25" spans="1:4" x14ac:dyDescent="0.2">
      <c r="A25" s="36">
        <v>22</v>
      </c>
      <c r="B25" s="38">
        <v>2307.9748762847353</v>
      </c>
      <c r="C25" s="38">
        <v>399.82559487560002</v>
      </c>
      <c r="D25" s="38">
        <f t="shared" si="0"/>
        <v>568.48</v>
      </c>
    </row>
    <row r="26" spans="1:4" x14ac:dyDescent="0.2">
      <c r="A26" s="36">
        <v>23</v>
      </c>
      <c r="B26" s="38">
        <v>2377.3030072325846</v>
      </c>
      <c r="C26" s="38">
        <v>399.82559487560002</v>
      </c>
      <c r="D26" s="38">
        <f t="shared" si="0"/>
        <v>594.32000000000005</v>
      </c>
    </row>
    <row r="27" spans="1:4" x14ac:dyDescent="0.2">
      <c r="A27" s="36">
        <v>24</v>
      </c>
      <c r="B27" s="38">
        <v>2446.6406547392462</v>
      </c>
      <c r="C27" s="38">
        <v>399.82559487560002</v>
      </c>
      <c r="D27" s="38">
        <f t="shared" si="0"/>
        <v>620.16</v>
      </c>
    </row>
    <row r="28" spans="1:4" x14ac:dyDescent="0.2">
      <c r="A28" s="36">
        <v>25</v>
      </c>
      <c r="B28" s="38">
        <v>2515.9783022459078</v>
      </c>
      <c r="C28" s="38">
        <v>399.82559487560002</v>
      </c>
      <c r="D28" s="38">
        <f t="shared" si="0"/>
        <v>646</v>
      </c>
    </row>
    <row r="29" spans="1:4" x14ac:dyDescent="0.2">
      <c r="A29" s="36">
        <v>26</v>
      </c>
      <c r="B29" s="38">
        <v>2585.3159497525694</v>
      </c>
      <c r="C29" s="38">
        <v>399.82559487560002</v>
      </c>
      <c r="D29" s="38">
        <f t="shared" si="0"/>
        <v>671.84</v>
      </c>
    </row>
    <row r="30" spans="1:4" x14ac:dyDescent="0.2">
      <c r="A30" s="36">
        <v>27</v>
      </c>
      <c r="B30" s="38">
        <v>2654.6440807004187</v>
      </c>
      <c r="C30" s="38">
        <v>399.82559487560002</v>
      </c>
      <c r="D30" s="38">
        <f t="shared" si="0"/>
        <v>697.68</v>
      </c>
    </row>
    <row r="31" spans="1:4" x14ac:dyDescent="0.2">
      <c r="A31" s="36">
        <v>28</v>
      </c>
      <c r="B31" s="38">
        <v>2723.9817282070803</v>
      </c>
      <c r="C31" s="38">
        <v>399.82559487560002</v>
      </c>
      <c r="D31" s="38">
        <f t="shared" si="0"/>
        <v>723.52</v>
      </c>
    </row>
    <row r="32" spans="1:4" x14ac:dyDescent="0.2">
      <c r="A32" s="36">
        <v>29</v>
      </c>
      <c r="B32" s="38">
        <v>2793.3193757137419</v>
      </c>
      <c r="C32" s="38">
        <v>399.82559487560002</v>
      </c>
      <c r="D32" s="38">
        <f t="shared" si="0"/>
        <v>749.36</v>
      </c>
    </row>
    <row r="33" spans="1:4" x14ac:dyDescent="0.2">
      <c r="A33" s="36">
        <v>30</v>
      </c>
      <c r="B33" s="38">
        <v>2862.6570232204035</v>
      </c>
      <c r="C33" s="38">
        <v>399.82559487560002</v>
      </c>
      <c r="D33" s="38">
        <f t="shared" si="0"/>
        <v>775.2</v>
      </c>
    </row>
    <row r="34" spans="1:4" x14ac:dyDescent="0.2">
      <c r="A34" s="36">
        <v>31</v>
      </c>
      <c r="B34" s="38">
        <v>2931.9851541682528</v>
      </c>
      <c r="C34" s="38">
        <v>399.82559487560002</v>
      </c>
      <c r="D34" s="38">
        <f t="shared" si="0"/>
        <v>801.04</v>
      </c>
    </row>
    <row r="35" spans="1:4" x14ac:dyDescent="0.2">
      <c r="A35" s="36">
        <v>32</v>
      </c>
      <c r="B35" s="38">
        <v>3001.3228016749144</v>
      </c>
      <c r="C35" s="38">
        <v>399.82559487560002</v>
      </c>
      <c r="D35" s="38">
        <f t="shared" si="0"/>
        <v>826.88</v>
      </c>
    </row>
    <row r="36" spans="1:4" x14ac:dyDescent="0.2">
      <c r="A36" s="36">
        <v>33</v>
      </c>
      <c r="B36" s="38">
        <v>3070.660449181576</v>
      </c>
      <c r="C36" s="38">
        <v>399.82559487560002</v>
      </c>
      <c r="D36" s="38">
        <f t="shared" si="0"/>
        <v>852.72</v>
      </c>
    </row>
    <row r="37" spans="1:4" x14ac:dyDescent="0.2">
      <c r="A37" s="36">
        <v>34</v>
      </c>
      <c r="B37" s="38">
        <v>3139.9980966882376</v>
      </c>
      <c r="C37" s="38">
        <v>399.82559487560002</v>
      </c>
      <c r="D37" s="38">
        <f t="shared" si="0"/>
        <v>878.56</v>
      </c>
    </row>
    <row r="38" spans="1:4" x14ac:dyDescent="0.2">
      <c r="A38" s="36">
        <v>35</v>
      </c>
      <c r="B38" s="38">
        <v>3209.326227636087</v>
      </c>
      <c r="C38" s="38">
        <v>399.82559487560002</v>
      </c>
      <c r="D38" s="38">
        <f t="shared" si="0"/>
        <v>904.4</v>
      </c>
    </row>
    <row r="39" spans="1:4" x14ac:dyDescent="0.2">
      <c r="A39" s="36">
        <v>36</v>
      </c>
      <c r="B39" s="38">
        <v>3278.6638751427486</v>
      </c>
      <c r="C39" s="38">
        <v>399.82559487560002</v>
      </c>
      <c r="D39" s="38">
        <f t="shared" si="0"/>
        <v>930.24</v>
      </c>
    </row>
    <row r="40" spans="1:4" x14ac:dyDescent="0.2">
      <c r="A40" s="36">
        <v>37</v>
      </c>
      <c r="B40" s="38">
        <v>3348.0015226494102</v>
      </c>
      <c r="C40" s="38">
        <v>399.82559487560002</v>
      </c>
      <c r="D40" s="38">
        <f t="shared" si="0"/>
        <v>956.08</v>
      </c>
    </row>
    <row r="41" spans="1:4" x14ac:dyDescent="0.2">
      <c r="A41" s="36">
        <v>38</v>
      </c>
      <c r="B41" s="38">
        <v>3417.3391701560718</v>
      </c>
      <c r="C41" s="38">
        <v>399.82559487560002</v>
      </c>
      <c r="D41" s="38">
        <f t="shared" si="0"/>
        <v>981.92</v>
      </c>
    </row>
    <row r="42" spans="1:4" x14ac:dyDescent="0.2">
      <c r="A42" s="36">
        <v>39</v>
      </c>
      <c r="B42" s="38">
        <v>3486.6673011039211</v>
      </c>
      <c r="C42" s="38">
        <v>399.82559487560002</v>
      </c>
      <c r="D42" s="38">
        <f t="shared" si="0"/>
        <v>1007.76</v>
      </c>
    </row>
    <row r="43" spans="1:4" x14ac:dyDescent="0.2">
      <c r="A43" s="36">
        <v>40</v>
      </c>
      <c r="B43" s="38">
        <v>3624.6574038827562</v>
      </c>
      <c r="C43" s="38">
        <v>499.80083105300002</v>
      </c>
      <c r="D43" s="38">
        <f t="shared" si="0"/>
        <v>1033.5999999999999</v>
      </c>
    </row>
    <row r="44" spans="1:4" x14ac:dyDescent="0.2">
      <c r="A44" s="36">
        <v>41</v>
      </c>
      <c r="B44" s="38">
        <v>3693.9855348306055</v>
      </c>
      <c r="C44" s="38">
        <v>499.80083105300002</v>
      </c>
      <c r="D44" s="38">
        <f t="shared" si="0"/>
        <v>1059.44</v>
      </c>
    </row>
    <row r="45" spans="1:4" x14ac:dyDescent="0.2">
      <c r="A45" s="36">
        <v>42</v>
      </c>
      <c r="B45" s="38">
        <v>3763.3231823372671</v>
      </c>
      <c r="C45" s="38">
        <v>499.80083105300002</v>
      </c>
      <c r="D45" s="38">
        <f t="shared" si="0"/>
        <v>1085.28</v>
      </c>
    </row>
    <row r="46" spans="1:4" x14ac:dyDescent="0.2">
      <c r="A46" s="36">
        <v>43</v>
      </c>
      <c r="B46" s="38">
        <v>3832.6608298439287</v>
      </c>
      <c r="C46" s="38">
        <v>499.80083105300002</v>
      </c>
      <c r="D46" s="38">
        <f t="shared" si="0"/>
        <v>1111.1199999999999</v>
      </c>
    </row>
    <row r="47" spans="1:4" x14ac:dyDescent="0.2">
      <c r="A47" s="36">
        <v>44</v>
      </c>
      <c r="B47" s="38">
        <v>3901.9984773505903</v>
      </c>
      <c r="C47" s="38">
        <v>499.80083105300002</v>
      </c>
      <c r="D47" s="38">
        <f t="shared" si="0"/>
        <v>1136.96</v>
      </c>
    </row>
    <row r="48" spans="1:4" x14ac:dyDescent="0.2">
      <c r="A48" s="36">
        <v>45</v>
      </c>
      <c r="B48" s="38">
        <v>3971.3266082984392</v>
      </c>
      <c r="C48" s="38">
        <v>499.80083105300002</v>
      </c>
      <c r="D48" s="38">
        <f t="shared" si="0"/>
        <v>1162.8</v>
      </c>
    </row>
    <row r="49" spans="1:4" x14ac:dyDescent="0.2">
      <c r="A49" s="36">
        <v>46</v>
      </c>
      <c r="B49" s="38">
        <v>4040.6642558051008</v>
      </c>
      <c r="C49" s="38">
        <v>499.80083105300002</v>
      </c>
      <c r="D49" s="38">
        <f t="shared" si="0"/>
        <v>1188.6400000000001</v>
      </c>
    </row>
    <row r="50" spans="1:4" x14ac:dyDescent="0.2">
      <c r="A50" s="36">
        <v>47</v>
      </c>
      <c r="B50" s="38">
        <v>4110.0019033117624</v>
      </c>
      <c r="C50" s="38">
        <v>499.80083105300002</v>
      </c>
      <c r="D50" s="38">
        <f t="shared" si="0"/>
        <v>1214.48</v>
      </c>
    </row>
    <row r="51" spans="1:4" x14ac:dyDescent="0.2">
      <c r="A51" s="36">
        <v>48</v>
      </c>
      <c r="B51" s="38">
        <v>4179.339550818424</v>
      </c>
      <c r="C51" s="38">
        <v>499.80083105300002</v>
      </c>
      <c r="D51" s="38">
        <f t="shared" si="0"/>
        <v>1240.32</v>
      </c>
    </row>
    <row r="52" spans="1:4" x14ac:dyDescent="0.2">
      <c r="A52" s="36">
        <v>49</v>
      </c>
      <c r="B52" s="38">
        <v>4248.6676817662737</v>
      </c>
      <c r="C52" s="38">
        <v>499.80083105300002</v>
      </c>
      <c r="D52" s="38">
        <f t="shared" si="0"/>
        <v>1266.1600000000001</v>
      </c>
    </row>
    <row r="53" spans="1:4" x14ac:dyDescent="0.2">
      <c r="A53" s="36">
        <v>50</v>
      </c>
      <c r="B53" s="38">
        <v>4318.0053292729353</v>
      </c>
      <c r="C53" s="38">
        <v>499.80083105300002</v>
      </c>
      <c r="D53" s="38">
        <f t="shared" si="0"/>
        <v>1292</v>
      </c>
    </row>
    <row r="54" spans="1:4" x14ac:dyDescent="0.2">
      <c r="A54" s="36">
        <v>51</v>
      </c>
      <c r="B54" s="38">
        <v>4387.3429767795969</v>
      </c>
      <c r="C54" s="38">
        <v>499.80083105300002</v>
      </c>
      <c r="D54" s="38">
        <f t="shared" si="0"/>
        <v>1317.84</v>
      </c>
    </row>
    <row r="55" spans="1:4" x14ac:dyDescent="0.2">
      <c r="A55" s="36">
        <v>52</v>
      </c>
      <c r="B55" s="38">
        <v>4456.6806242862585</v>
      </c>
      <c r="C55" s="38">
        <v>499.80083105300002</v>
      </c>
      <c r="D55" s="38">
        <f t="shared" si="0"/>
        <v>1343.68</v>
      </c>
    </row>
    <row r="56" spans="1:4" x14ac:dyDescent="0.2">
      <c r="A56" s="36">
        <v>53</v>
      </c>
      <c r="B56" s="38">
        <v>4526.0087552341074</v>
      </c>
      <c r="C56" s="38">
        <v>499.80083105300002</v>
      </c>
      <c r="D56" s="38">
        <f t="shared" si="0"/>
        <v>1369.52</v>
      </c>
    </row>
    <row r="57" spans="1:4" x14ac:dyDescent="0.2">
      <c r="A57" s="36">
        <v>54</v>
      </c>
      <c r="B57" s="38">
        <v>4595.346402740769</v>
      </c>
      <c r="C57" s="38">
        <v>499.80083105300002</v>
      </c>
      <c r="D57" s="38">
        <f t="shared" si="0"/>
        <v>1395.36</v>
      </c>
    </row>
    <row r="58" spans="1:4" x14ac:dyDescent="0.2">
      <c r="A58" s="36">
        <v>55</v>
      </c>
      <c r="B58" s="38">
        <v>4733.3269889607918</v>
      </c>
      <c r="C58" s="38">
        <v>499.80083105300002</v>
      </c>
      <c r="D58" s="38">
        <f t="shared" si="0"/>
        <v>1421.2</v>
      </c>
    </row>
    <row r="59" spans="1:4" x14ac:dyDescent="0.2">
      <c r="A59" s="36">
        <v>56</v>
      </c>
      <c r="B59" s="38">
        <v>4802.6646364674534</v>
      </c>
      <c r="C59" s="38">
        <v>499.80083105300002</v>
      </c>
      <c r="D59" s="38">
        <f t="shared" si="0"/>
        <v>1447.04</v>
      </c>
    </row>
    <row r="60" spans="1:4" x14ac:dyDescent="0.2">
      <c r="A60" s="36">
        <v>57</v>
      </c>
      <c r="B60" s="38">
        <v>4872.002283974115</v>
      </c>
      <c r="C60" s="38">
        <v>499.80083105300002</v>
      </c>
      <c r="D60" s="38">
        <f t="shared" si="0"/>
        <v>1472.8799999999999</v>
      </c>
    </row>
    <row r="61" spans="1:4" x14ac:dyDescent="0.2">
      <c r="A61" s="36">
        <v>58</v>
      </c>
      <c r="B61" s="38">
        <v>4941.3399314807766</v>
      </c>
      <c r="C61" s="38">
        <v>499.80083105300002</v>
      </c>
      <c r="D61" s="38">
        <f t="shared" si="0"/>
        <v>1498.72</v>
      </c>
    </row>
    <row r="62" spans="1:4" x14ac:dyDescent="0.2">
      <c r="A62" s="36">
        <v>59</v>
      </c>
      <c r="B62" s="38">
        <v>5010.6680624286255</v>
      </c>
      <c r="C62" s="38">
        <v>499.80083105300002</v>
      </c>
      <c r="D62" s="38">
        <f t="shared" si="0"/>
        <v>1524.56</v>
      </c>
    </row>
    <row r="63" spans="1:4" x14ac:dyDescent="0.2">
      <c r="A63" s="36">
        <v>60</v>
      </c>
      <c r="B63" s="38">
        <v>5080.0057099352871</v>
      </c>
      <c r="C63" s="38">
        <v>515.796524385</v>
      </c>
      <c r="D63" s="38">
        <f t="shared" si="0"/>
        <v>1550.4</v>
      </c>
    </row>
    <row r="64" spans="1:4" x14ac:dyDescent="0.2">
      <c r="A64" s="36">
        <v>61</v>
      </c>
      <c r="B64" s="38">
        <v>5149.3433574419487</v>
      </c>
      <c r="C64" s="38">
        <v>515.796524385</v>
      </c>
      <c r="D64" s="38">
        <f t="shared" si="0"/>
        <v>1576.24</v>
      </c>
    </row>
    <row r="65" spans="1:4" x14ac:dyDescent="0.2">
      <c r="A65" s="36">
        <v>62</v>
      </c>
      <c r="B65" s="38">
        <v>5218.6810049486103</v>
      </c>
      <c r="C65" s="38">
        <v>515.796524385</v>
      </c>
      <c r="D65" s="38">
        <f t="shared" si="0"/>
        <v>1602.08</v>
      </c>
    </row>
    <row r="66" spans="1:4" x14ac:dyDescent="0.2">
      <c r="A66" s="36">
        <v>63</v>
      </c>
      <c r="B66" s="38">
        <v>5288.0091358964601</v>
      </c>
      <c r="C66" s="38">
        <v>515.796524385</v>
      </c>
      <c r="D66" s="38">
        <f t="shared" si="0"/>
        <v>1627.92</v>
      </c>
    </row>
    <row r="67" spans="1:4" x14ac:dyDescent="0.2">
      <c r="A67" s="36">
        <v>64</v>
      </c>
      <c r="B67" s="38">
        <v>5357.3467834031217</v>
      </c>
      <c r="C67" s="38">
        <v>515.796524385</v>
      </c>
      <c r="D67" s="38">
        <f t="shared" si="0"/>
        <v>1653.76</v>
      </c>
    </row>
    <row r="68" spans="1:4" x14ac:dyDescent="0.2">
      <c r="A68" s="36">
        <v>65</v>
      </c>
      <c r="B68" s="38">
        <v>5426.6844309097833</v>
      </c>
      <c r="C68" s="38">
        <v>558.7825282558</v>
      </c>
      <c r="D68" s="38">
        <f t="shared" si="0"/>
        <v>1679.6</v>
      </c>
    </row>
    <row r="69" spans="1:4" x14ac:dyDescent="0.2">
      <c r="A69" s="36">
        <v>66</v>
      </c>
      <c r="B69" s="38">
        <v>5496.0220784164449</v>
      </c>
      <c r="C69" s="38">
        <v>558.7825282558</v>
      </c>
      <c r="D69" s="38">
        <f t="shared" ref="D69:D83" si="1">A69*25.84</f>
        <v>1705.44</v>
      </c>
    </row>
    <row r="70" spans="1:4" x14ac:dyDescent="0.2">
      <c r="A70" s="36">
        <v>67</v>
      </c>
      <c r="B70" s="38">
        <v>5565.3502093642937</v>
      </c>
      <c r="C70" s="38">
        <v>558.7825282558</v>
      </c>
      <c r="D70" s="38">
        <f t="shared" si="1"/>
        <v>1731.28</v>
      </c>
    </row>
    <row r="71" spans="1:4" x14ac:dyDescent="0.2">
      <c r="A71" s="36">
        <v>68</v>
      </c>
      <c r="B71" s="38">
        <v>5634.6878568709553</v>
      </c>
      <c r="C71" s="38">
        <v>558.7825282558</v>
      </c>
      <c r="D71" s="38">
        <f t="shared" si="1"/>
        <v>1757.12</v>
      </c>
    </row>
    <row r="72" spans="1:4" x14ac:dyDescent="0.2">
      <c r="A72" s="36">
        <v>69</v>
      </c>
      <c r="B72" s="38">
        <v>5704.0255043776169</v>
      </c>
      <c r="C72" s="38">
        <v>558.7825282558</v>
      </c>
      <c r="D72" s="38">
        <f t="shared" si="1"/>
        <v>1782.96</v>
      </c>
    </row>
    <row r="73" spans="1:4" x14ac:dyDescent="0.2">
      <c r="A73" s="36">
        <v>70</v>
      </c>
      <c r="B73" s="38">
        <v>5842.0060905976397</v>
      </c>
      <c r="C73" s="38">
        <v>601.759920717</v>
      </c>
      <c r="D73" s="38">
        <f t="shared" si="1"/>
        <v>1808.8</v>
      </c>
    </row>
    <row r="74" spans="1:4" x14ac:dyDescent="0.2">
      <c r="A74" s="36">
        <v>71</v>
      </c>
      <c r="B74" s="38">
        <v>5911.3437381043013</v>
      </c>
      <c r="C74" s="38">
        <v>601.759920717</v>
      </c>
      <c r="D74" s="38">
        <f t="shared" si="1"/>
        <v>1834.64</v>
      </c>
    </row>
    <row r="75" spans="1:4" x14ac:dyDescent="0.2">
      <c r="A75" s="36">
        <v>72</v>
      </c>
      <c r="B75" s="38">
        <v>5980.6813856109629</v>
      </c>
      <c r="C75" s="38">
        <v>601.759920717</v>
      </c>
      <c r="D75" s="38">
        <f t="shared" si="1"/>
        <v>1860.48</v>
      </c>
    </row>
    <row r="76" spans="1:4" x14ac:dyDescent="0.2">
      <c r="A76" s="36">
        <v>73</v>
      </c>
      <c r="B76" s="38">
        <v>6050.0095165588127</v>
      </c>
      <c r="C76" s="38">
        <v>601.759920717</v>
      </c>
      <c r="D76" s="38">
        <f t="shared" si="1"/>
        <v>1886.32</v>
      </c>
    </row>
    <row r="77" spans="1:4" x14ac:dyDescent="0.2">
      <c r="A77" s="36">
        <v>74</v>
      </c>
      <c r="B77" s="38">
        <v>6119.3471640654743</v>
      </c>
      <c r="C77" s="38">
        <v>601.759920717</v>
      </c>
      <c r="D77" s="38">
        <f t="shared" si="1"/>
        <v>1912.16</v>
      </c>
    </row>
    <row r="78" spans="1:4" x14ac:dyDescent="0.2">
      <c r="A78" s="36">
        <v>75</v>
      </c>
      <c r="B78" s="38">
        <v>6188.6848115721359</v>
      </c>
      <c r="C78" s="38">
        <v>644.75453599740001</v>
      </c>
      <c r="D78" s="38">
        <f t="shared" si="1"/>
        <v>1938</v>
      </c>
    </row>
    <row r="79" spans="1:4" x14ac:dyDescent="0.2">
      <c r="A79" s="36">
        <v>76</v>
      </c>
      <c r="B79" s="38">
        <v>6258.0224590787975</v>
      </c>
      <c r="C79" s="38">
        <v>644.75453599740001</v>
      </c>
      <c r="D79" s="38">
        <f t="shared" si="1"/>
        <v>1963.84</v>
      </c>
    </row>
    <row r="80" spans="1:4" x14ac:dyDescent="0.2">
      <c r="A80" s="36">
        <v>77</v>
      </c>
      <c r="B80" s="38">
        <v>6327.3505900266464</v>
      </c>
      <c r="C80" s="38">
        <v>644.75453599740001</v>
      </c>
      <c r="D80" s="38">
        <f t="shared" si="1"/>
        <v>1989.68</v>
      </c>
    </row>
    <row r="81" spans="1:4" x14ac:dyDescent="0.2">
      <c r="A81" s="36">
        <v>78</v>
      </c>
      <c r="B81" s="38">
        <v>6396.688237533308</v>
      </c>
      <c r="C81" s="38">
        <v>644.75453599740001</v>
      </c>
      <c r="D81" s="38">
        <f t="shared" si="1"/>
        <v>2015.52</v>
      </c>
    </row>
    <row r="82" spans="1:4" x14ac:dyDescent="0.2">
      <c r="A82" s="36">
        <v>79</v>
      </c>
      <c r="B82" s="38">
        <v>6466.0258850399696</v>
      </c>
      <c r="C82" s="38">
        <v>644.75453599740001</v>
      </c>
      <c r="D82" s="38">
        <f t="shared" si="1"/>
        <v>2041.36</v>
      </c>
    </row>
    <row r="83" spans="1:4" x14ac:dyDescent="0.2">
      <c r="A83" s="36">
        <v>80</v>
      </c>
      <c r="B83" s="38">
        <v>6535.3635325466312</v>
      </c>
      <c r="C83" s="38">
        <v>687.73192845860001</v>
      </c>
      <c r="D83" s="38">
        <f t="shared" si="1"/>
        <v>2067.1999999999998</v>
      </c>
    </row>
  </sheetData>
  <mergeCells count="1">
    <mergeCell ref="A1:D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A8314-532D-404A-BC3A-E611D62DC194}">
  <sheetPr codeName="Feuil4"/>
  <dimension ref="A1:G83"/>
  <sheetViews>
    <sheetView topLeftCell="A60" workbookViewId="0">
      <selection activeCell="A4" sqref="A4:B83"/>
    </sheetView>
  </sheetViews>
  <sheetFormatPr baseColWidth="10" defaultColWidth="11.5" defaultRowHeight="14" x14ac:dyDescent="0.15"/>
  <cols>
    <col min="1" max="1" width="23.1640625" style="2" customWidth="1"/>
    <col min="2" max="2" width="32.1640625" style="2" customWidth="1"/>
    <col min="3" max="5" width="11.5" style="2"/>
    <col min="6" max="6" width="15.83203125" style="2" customWidth="1"/>
    <col min="7" max="16384" width="11.5" style="2"/>
  </cols>
  <sheetData>
    <row r="1" spans="1:7" x14ac:dyDescent="0.15">
      <c r="A1" s="132" t="s">
        <v>13</v>
      </c>
      <c r="B1" s="132"/>
    </row>
    <row r="2" spans="1:7" x14ac:dyDescent="0.15">
      <c r="A2" s="133" t="s">
        <v>18</v>
      </c>
      <c r="B2" s="133"/>
    </row>
    <row r="3" spans="1:7" ht="30" x14ac:dyDescent="0.15">
      <c r="A3" s="5" t="s">
        <v>19</v>
      </c>
      <c r="B3" s="5" t="s">
        <v>20</v>
      </c>
    </row>
    <row r="4" spans="1:7" x14ac:dyDescent="0.15">
      <c r="A4" s="12">
        <v>1</v>
      </c>
      <c r="B4" s="7">
        <v>54186</v>
      </c>
    </row>
    <row r="5" spans="1:7" x14ac:dyDescent="0.15">
      <c r="A5" s="12">
        <v>2</v>
      </c>
      <c r="B5" s="7">
        <v>54186</v>
      </c>
    </row>
    <row r="6" spans="1:7" x14ac:dyDescent="0.15">
      <c r="A6" s="12">
        <v>3</v>
      </c>
      <c r="B6" s="7">
        <v>54186</v>
      </c>
    </row>
    <row r="7" spans="1:7" x14ac:dyDescent="0.15">
      <c r="A7" s="12">
        <v>4</v>
      </c>
      <c r="B7" s="7">
        <v>54186</v>
      </c>
    </row>
    <row r="8" spans="1:7" x14ac:dyDescent="0.15">
      <c r="A8" s="12">
        <v>5</v>
      </c>
      <c r="B8" s="7">
        <v>54186</v>
      </c>
    </row>
    <row r="9" spans="1:7" x14ac:dyDescent="0.15">
      <c r="A9" s="12">
        <v>6</v>
      </c>
      <c r="B9" s="7">
        <v>54186</v>
      </c>
    </row>
    <row r="10" spans="1:7" x14ac:dyDescent="0.15">
      <c r="A10" s="12">
        <v>7</v>
      </c>
      <c r="B10" s="7">
        <v>54186</v>
      </c>
    </row>
    <row r="11" spans="1:7" x14ac:dyDescent="0.15">
      <c r="A11" s="12">
        <v>8</v>
      </c>
      <c r="B11" s="7">
        <v>54186</v>
      </c>
    </row>
    <row r="12" spans="1:7" x14ac:dyDescent="0.15">
      <c r="A12" s="12">
        <v>9</v>
      </c>
      <c r="B12" s="7">
        <v>54186</v>
      </c>
    </row>
    <row r="13" spans="1:7" x14ac:dyDescent="0.15">
      <c r="A13" s="12">
        <v>10</v>
      </c>
      <c r="B13" s="7">
        <v>54186</v>
      </c>
    </row>
    <row r="14" spans="1:7" x14ac:dyDescent="0.15">
      <c r="A14" s="12">
        <v>11</v>
      </c>
      <c r="B14" s="7">
        <v>54186</v>
      </c>
    </row>
    <row r="15" spans="1:7" x14ac:dyDescent="0.15">
      <c r="A15" s="12">
        <v>12</v>
      </c>
      <c r="B15" s="7">
        <v>54186</v>
      </c>
      <c r="F15" s="13"/>
      <c r="G15" s="14"/>
    </row>
    <row r="16" spans="1:7" x14ac:dyDescent="0.15">
      <c r="A16" s="12">
        <v>13</v>
      </c>
      <c r="B16" s="7">
        <v>54186</v>
      </c>
      <c r="F16" s="13"/>
      <c r="G16" s="14"/>
    </row>
    <row r="17" spans="1:3" x14ac:dyDescent="0.15">
      <c r="A17" s="12">
        <v>14</v>
      </c>
      <c r="B17" s="7">
        <v>54186</v>
      </c>
    </row>
    <row r="18" spans="1:3" x14ac:dyDescent="0.15">
      <c r="A18" s="12">
        <v>15</v>
      </c>
      <c r="B18" s="7">
        <v>54186</v>
      </c>
      <c r="C18" s="8"/>
    </row>
    <row r="19" spans="1:3" x14ac:dyDescent="0.15">
      <c r="A19" s="12">
        <v>16</v>
      </c>
      <c r="B19" s="7">
        <v>54186</v>
      </c>
    </row>
    <row r="20" spans="1:3" x14ac:dyDescent="0.15">
      <c r="A20" s="12">
        <v>17</v>
      </c>
      <c r="B20" s="7">
        <v>54186</v>
      </c>
    </row>
    <row r="21" spans="1:3" x14ac:dyDescent="0.15">
      <c r="A21" s="12">
        <v>18</v>
      </c>
      <c r="B21" s="7">
        <v>54186</v>
      </c>
    </row>
    <row r="22" spans="1:3" x14ac:dyDescent="0.15">
      <c r="A22" s="12">
        <v>19</v>
      </c>
      <c r="B22" s="7">
        <v>54186</v>
      </c>
    </row>
    <row r="23" spans="1:3" x14ac:dyDescent="0.15">
      <c r="A23" s="12">
        <v>20</v>
      </c>
      <c r="B23" s="7">
        <v>72245</v>
      </c>
    </row>
    <row r="24" spans="1:3" x14ac:dyDescent="0.15">
      <c r="A24" s="12">
        <v>21</v>
      </c>
      <c r="B24" s="7">
        <v>72245</v>
      </c>
    </row>
    <row r="25" spans="1:3" x14ac:dyDescent="0.15">
      <c r="A25" s="12">
        <v>22</v>
      </c>
      <c r="B25" s="7">
        <v>72245</v>
      </c>
    </row>
    <row r="26" spans="1:3" x14ac:dyDescent="0.15">
      <c r="A26" s="12">
        <v>23</v>
      </c>
      <c r="B26" s="7">
        <v>72245</v>
      </c>
    </row>
    <row r="27" spans="1:3" x14ac:dyDescent="0.15">
      <c r="A27" s="12">
        <v>24</v>
      </c>
      <c r="B27" s="7">
        <v>72245</v>
      </c>
    </row>
    <row r="28" spans="1:3" x14ac:dyDescent="0.15">
      <c r="A28" s="12">
        <v>25</v>
      </c>
      <c r="B28" s="7">
        <v>72245</v>
      </c>
    </row>
    <row r="29" spans="1:3" x14ac:dyDescent="0.15">
      <c r="A29" s="12">
        <v>26</v>
      </c>
      <c r="B29" s="7">
        <v>72245</v>
      </c>
    </row>
    <row r="30" spans="1:3" x14ac:dyDescent="0.15">
      <c r="A30" s="12">
        <v>27</v>
      </c>
      <c r="B30" s="7">
        <v>72245</v>
      </c>
    </row>
    <row r="31" spans="1:3" x14ac:dyDescent="0.15">
      <c r="A31" s="12">
        <v>28</v>
      </c>
      <c r="B31" s="7">
        <v>72245</v>
      </c>
    </row>
    <row r="32" spans="1:3" x14ac:dyDescent="0.15">
      <c r="A32" s="12">
        <v>29</v>
      </c>
      <c r="B32" s="7">
        <v>72245</v>
      </c>
    </row>
    <row r="33" spans="1:7" x14ac:dyDescent="0.15">
      <c r="A33" s="12">
        <v>30</v>
      </c>
      <c r="B33" s="7">
        <v>72245</v>
      </c>
    </row>
    <row r="34" spans="1:7" x14ac:dyDescent="0.15">
      <c r="A34" s="12">
        <v>31</v>
      </c>
      <c r="B34" s="7">
        <v>72245</v>
      </c>
    </row>
    <row r="35" spans="1:7" x14ac:dyDescent="0.15">
      <c r="A35" s="12">
        <v>32</v>
      </c>
      <c r="B35" s="7">
        <v>72245</v>
      </c>
      <c r="F35" s="13"/>
      <c r="G35" s="14"/>
    </row>
    <row r="36" spans="1:7" x14ac:dyDescent="0.15">
      <c r="A36" s="12">
        <v>33</v>
      </c>
      <c r="B36" s="7">
        <v>72245</v>
      </c>
      <c r="F36" s="13"/>
      <c r="G36" s="14"/>
    </row>
    <row r="37" spans="1:7" x14ac:dyDescent="0.15">
      <c r="A37" s="12">
        <v>34</v>
      </c>
      <c r="B37" s="7">
        <v>72245</v>
      </c>
    </row>
    <row r="38" spans="1:7" x14ac:dyDescent="0.15">
      <c r="A38" s="12">
        <v>35</v>
      </c>
      <c r="B38" s="7">
        <v>72245</v>
      </c>
    </row>
    <row r="39" spans="1:7" x14ac:dyDescent="0.15">
      <c r="A39" s="12">
        <v>36</v>
      </c>
      <c r="B39" s="7">
        <v>72245</v>
      </c>
    </row>
    <row r="40" spans="1:7" x14ac:dyDescent="0.15">
      <c r="A40" s="12">
        <v>37</v>
      </c>
      <c r="B40" s="7">
        <v>72245</v>
      </c>
    </row>
    <row r="41" spans="1:7" x14ac:dyDescent="0.15">
      <c r="A41" s="12">
        <v>38</v>
      </c>
      <c r="B41" s="7">
        <v>72245</v>
      </c>
    </row>
    <row r="42" spans="1:7" x14ac:dyDescent="0.15">
      <c r="A42" s="12">
        <v>39</v>
      </c>
      <c r="B42" s="7">
        <v>72245</v>
      </c>
    </row>
    <row r="43" spans="1:7" x14ac:dyDescent="0.15">
      <c r="A43" s="12">
        <v>40</v>
      </c>
      <c r="B43" s="7">
        <v>90309</v>
      </c>
    </row>
    <row r="44" spans="1:7" x14ac:dyDescent="0.15">
      <c r="A44" s="12">
        <v>41</v>
      </c>
      <c r="B44" s="7">
        <v>90309</v>
      </c>
    </row>
    <row r="45" spans="1:7" x14ac:dyDescent="0.15">
      <c r="A45" s="12">
        <v>42</v>
      </c>
      <c r="B45" s="7">
        <v>90309</v>
      </c>
    </row>
    <row r="46" spans="1:7" x14ac:dyDescent="0.15">
      <c r="A46" s="12">
        <v>43</v>
      </c>
      <c r="B46" s="7">
        <v>90309</v>
      </c>
    </row>
    <row r="47" spans="1:7" x14ac:dyDescent="0.15">
      <c r="A47" s="12">
        <v>44</v>
      </c>
      <c r="B47" s="7">
        <v>90309</v>
      </c>
    </row>
    <row r="48" spans="1:7" x14ac:dyDescent="0.15">
      <c r="A48" s="12">
        <v>45</v>
      </c>
      <c r="B48" s="7">
        <v>90309</v>
      </c>
    </row>
    <row r="49" spans="1:2" x14ac:dyDescent="0.15">
      <c r="A49" s="12">
        <v>46</v>
      </c>
      <c r="B49" s="7">
        <v>90309</v>
      </c>
    </row>
    <row r="50" spans="1:2" x14ac:dyDescent="0.15">
      <c r="A50" s="12">
        <v>47</v>
      </c>
      <c r="B50" s="7">
        <v>90309</v>
      </c>
    </row>
    <row r="51" spans="1:2" x14ac:dyDescent="0.15">
      <c r="A51" s="12">
        <v>48</v>
      </c>
      <c r="B51" s="7">
        <v>90309</v>
      </c>
    </row>
    <row r="52" spans="1:2" x14ac:dyDescent="0.15">
      <c r="A52" s="12">
        <v>49</v>
      </c>
      <c r="B52" s="7">
        <v>90309</v>
      </c>
    </row>
    <row r="53" spans="1:2" x14ac:dyDescent="0.15">
      <c r="A53" s="12">
        <v>50</v>
      </c>
      <c r="B53" s="7">
        <v>90309</v>
      </c>
    </row>
    <row r="54" spans="1:2" x14ac:dyDescent="0.15">
      <c r="A54" s="12">
        <v>51</v>
      </c>
      <c r="B54" s="7">
        <v>90309</v>
      </c>
    </row>
    <row r="55" spans="1:2" x14ac:dyDescent="0.15">
      <c r="A55" s="12">
        <v>52</v>
      </c>
      <c r="B55" s="7">
        <v>90309</v>
      </c>
    </row>
    <row r="56" spans="1:2" x14ac:dyDescent="0.15">
      <c r="A56" s="12">
        <v>53</v>
      </c>
      <c r="B56" s="7">
        <v>90309</v>
      </c>
    </row>
    <row r="57" spans="1:2" x14ac:dyDescent="0.15">
      <c r="A57" s="12">
        <v>54</v>
      </c>
      <c r="B57" s="7">
        <v>90309</v>
      </c>
    </row>
    <row r="58" spans="1:2" x14ac:dyDescent="0.15">
      <c r="A58" s="12">
        <v>55</v>
      </c>
      <c r="B58" s="7">
        <v>90309</v>
      </c>
    </row>
    <row r="59" spans="1:2" x14ac:dyDescent="0.15">
      <c r="A59" s="12">
        <v>56</v>
      </c>
      <c r="B59" s="7">
        <v>90309</v>
      </c>
    </row>
    <row r="60" spans="1:2" x14ac:dyDescent="0.15">
      <c r="A60" s="12">
        <v>57</v>
      </c>
      <c r="B60" s="7">
        <v>90309</v>
      </c>
    </row>
    <row r="61" spans="1:2" x14ac:dyDescent="0.15">
      <c r="A61" s="12">
        <v>58</v>
      </c>
      <c r="B61" s="7">
        <v>90309</v>
      </c>
    </row>
    <row r="62" spans="1:2" x14ac:dyDescent="0.15">
      <c r="A62" s="12">
        <v>59</v>
      </c>
      <c r="B62" s="7">
        <v>90309</v>
      </c>
    </row>
    <row r="63" spans="1:2" x14ac:dyDescent="0.15">
      <c r="A63" s="12">
        <v>60</v>
      </c>
      <c r="B63" s="7">
        <v>93200</v>
      </c>
    </row>
    <row r="64" spans="1:2" x14ac:dyDescent="0.15">
      <c r="A64" s="12">
        <v>61</v>
      </c>
      <c r="B64" s="7">
        <v>93200</v>
      </c>
    </row>
    <row r="65" spans="1:6" x14ac:dyDescent="0.15">
      <c r="A65" s="12">
        <v>62</v>
      </c>
      <c r="B65" s="7">
        <v>93200</v>
      </c>
    </row>
    <row r="66" spans="1:6" x14ac:dyDescent="0.15">
      <c r="A66" s="12">
        <v>63</v>
      </c>
      <c r="B66" s="7">
        <v>93200</v>
      </c>
    </row>
    <row r="67" spans="1:6" x14ac:dyDescent="0.15">
      <c r="A67" s="12">
        <v>64</v>
      </c>
      <c r="B67" s="7">
        <v>93200</v>
      </c>
    </row>
    <row r="68" spans="1:6" x14ac:dyDescent="0.15">
      <c r="A68" s="12">
        <v>65</v>
      </c>
      <c r="B68" s="7">
        <v>100967</v>
      </c>
    </row>
    <row r="69" spans="1:6" x14ac:dyDescent="0.15">
      <c r="A69" s="12">
        <v>66</v>
      </c>
      <c r="B69" s="7">
        <v>100967</v>
      </c>
      <c r="E69" s="13"/>
      <c r="F69" s="14"/>
    </row>
    <row r="70" spans="1:6" x14ac:dyDescent="0.15">
      <c r="A70" s="12">
        <v>67</v>
      </c>
      <c r="B70" s="7">
        <v>100967</v>
      </c>
      <c r="E70" s="13"/>
      <c r="F70" s="14"/>
    </row>
    <row r="71" spans="1:6" x14ac:dyDescent="0.15">
      <c r="A71" s="12">
        <v>68</v>
      </c>
      <c r="B71" s="7">
        <v>100967</v>
      </c>
      <c r="E71" s="13"/>
      <c r="F71" s="14"/>
    </row>
    <row r="72" spans="1:6" x14ac:dyDescent="0.15">
      <c r="A72" s="12">
        <v>69</v>
      </c>
      <c r="B72" s="7">
        <v>100967</v>
      </c>
      <c r="E72" s="13"/>
      <c r="F72" s="14"/>
    </row>
    <row r="73" spans="1:6" x14ac:dyDescent="0.15">
      <c r="A73" s="12">
        <v>70</v>
      </c>
      <c r="B73" s="7">
        <v>108732</v>
      </c>
    </row>
    <row r="74" spans="1:6" x14ac:dyDescent="0.15">
      <c r="A74" s="12">
        <v>71</v>
      </c>
      <c r="B74" s="7">
        <v>108732</v>
      </c>
    </row>
    <row r="75" spans="1:6" x14ac:dyDescent="0.15">
      <c r="A75" s="12">
        <v>72</v>
      </c>
      <c r="B75" s="7">
        <v>108732</v>
      </c>
    </row>
    <row r="76" spans="1:6" x14ac:dyDescent="0.15">
      <c r="A76" s="12">
        <v>73</v>
      </c>
      <c r="B76" s="7">
        <v>108732</v>
      </c>
    </row>
    <row r="77" spans="1:6" x14ac:dyDescent="0.15">
      <c r="A77" s="12">
        <v>74</v>
      </c>
      <c r="B77" s="7">
        <v>108732</v>
      </c>
    </row>
    <row r="78" spans="1:6" x14ac:dyDescent="0.15">
      <c r="A78" s="12">
        <v>75</v>
      </c>
      <c r="B78" s="7">
        <v>116501</v>
      </c>
    </row>
    <row r="79" spans="1:6" x14ac:dyDescent="0.15">
      <c r="A79" s="12">
        <v>76</v>
      </c>
      <c r="B79" s="7">
        <v>116501</v>
      </c>
    </row>
    <row r="80" spans="1:6" x14ac:dyDescent="0.15">
      <c r="A80" s="12">
        <v>77</v>
      </c>
      <c r="B80" s="7">
        <v>116501</v>
      </c>
    </row>
    <row r="81" spans="1:2" x14ac:dyDescent="0.15">
      <c r="A81" s="12">
        <v>78</v>
      </c>
      <c r="B81" s="7">
        <v>116501</v>
      </c>
    </row>
    <row r="82" spans="1:2" x14ac:dyDescent="0.15">
      <c r="A82" s="12">
        <v>79</v>
      </c>
      <c r="B82" s="7">
        <v>116501</v>
      </c>
    </row>
    <row r="83" spans="1:2" x14ac:dyDescent="0.15">
      <c r="A83" s="12">
        <v>80</v>
      </c>
      <c r="B83" s="7">
        <v>124267</v>
      </c>
    </row>
  </sheetData>
  <mergeCells count="2">
    <mergeCell ref="A1:B1"/>
    <mergeCell ref="A2:B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F7B38-88C4-4025-A3FB-0519D7832F31}">
  <sheetPr codeName="Feuil5"/>
  <dimension ref="A1:B27"/>
  <sheetViews>
    <sheetView workbookViewId="0">
      <selection activeCell="A11" sqref="A11"/>
    </sheetView>
  </sheetViews>
  <sheetFormatPr baseColWidth="10" defaultColWidth="11.5" defaultRowHeight="14" x14ac:dyDescent="0.15"/>
  <cols>
    <col min="1" max="1" width="64.5" style="2" customWidth="1"/>
    <col min="2" max="2" width="11.5" style="15"/>
    <col min="3" max="16384" width="11.5" style="2"/>
  </cols>
  <sheetData>
    <row r="1" spans="1:2" x14ac:dyDescent="0.15">
      <c r="A1" s="1" t="s">
        <v>0</v>
      </c>
    </row>
    <row r="2" spans="1:2" x14ac:dyDescent="0.15">
      <c r="A2" s="2" t="s">
        <v>21</v>
      </c>
    </row>
    <row r="3" spans="1:2" x14ac:dyDescent="0.15">
      <c r="A3" s="16" t="s">
        <v>39</v>
      </c>
      <c r="B3" s="17" t="s">
        <v>38</v>
      </c>
    </row>
    <row r="4" spans="1:2" x14ac:dyDescent="0.15">
      <c r="A4" s="3" t="s">
        <v>2</v>
      </c>
      <c r="B4" s="18">
        <v>1.1499999999999999</v>
      </c>
    </row>
    <row r="5" spans="1:2" x14ac:dyDescent="0.15">
      <c r="A5" s="3" t="s">
        <v>1</v>
      </c>
      <c r="B5" s="18">
        <v>1.05</v>
      </c>
    </row>
    <row r="6" spans="1:2" x14ac:dyDescent="0.15">
      <c r="A6" s="3" t="s">
        <v>3</v>
      </c>
      <c r="B6" s="18">
        <v>1</v>
      </c>
    </row>
    <row r="7" spans="1:2" ht="15" x14ac:dyDescent="0.15">
      <c r="A7" s="4" t="s">
        <v>4</v>
      </c>
      <c r="B7" s="19">
        <v>1</v>
      </c>
    </row>
    <row r="8" spans="1:2" ht="15" x14ac:dyDescent="0.15">
      <c r="A8" s="4" t="s">
        <v>5</v>
      </c>
      <c r="B8" s="19">
        <v>1</v>
      </c>
    </row>
    <row r="9" spans="1:2" ht="15" x14ac:dyDescent="0.15">
      <c r="A9" s="4" t="s">
        <v>27</v>
      </c>
      <c r="B9" s="19">
        <v>2</v>
      </c>
    </row>
    <row r="10" spans="1:2" ht="15" x14ac:dyDescent="0.15">
      <c r="A10" s="4" t="s">
        <v>26</v>
      </c>
      <c r="B10" s="19">
        <v>1.6</v>
      </c>
    </row>
    <row r="11" spans="1:2" ht="15" x14ac:dyDescent="0.15">
      <c r="A11" s="4" t="s">
        <v>28</v>
      </c>
      <c r="B11" s="19">
        <v>1.25</v>
      </c>
    </row>
    <row r="12" spans="1:2" x14ac:dyDescent="0.15">
      <c r="A12" s="3" t="s">
        <v>6</v>
      </c>
      <c r="B12" s="18">
        <v>1</v>
      </c>
    </row>
    <row r="13" spans="1:2" ht="15" x14ac:dyDescent="0.15">
      <c r="A13" s="4" t="s">
        <v>34</v>
      </c>
      <c r="B13" s="19">
        <v>1.1000000000000001</v>
      </c>
    </row>
    <row r="14" spans="1:2" ht="15" x14ac:dyDescent="0.15">
      <c r="A14" s="4" t="s">
        <v>35</v>
      </c>
      <c r="B14" s="19">
        <v>1.6</v>
      </c>
    </row>
    <row r="15" spans="1:2" ht="15" x14ac:dyDescent="0.15">
      <c r="A15" s="4" t="s">
        <v>7</v>
      </c>
      <c r="B15" s="19">
        <v>1</v>
      </c>
    </row>
    <row r="16" spans="1:2" ht="16.5" customHeight="1" x14ac:dyDescent="0.15">
      <c r="A16" s="4" t="s">
        <v>37</v>
      </c>
      <c r="B16" s="19">
        <v>1.1200000000000001</v>
      </c>
    </row>
    <row r="17" spans="1:2" ht="15" x14ac:dyDescent="0.15">
      <c r="A17" s="4" t="s">
        <v>36</v>
      </c>
      <c r="B17" s="19">
        <v>1</v>
      </c>
    </row>
    <row r="18" spans="1:2" ht="15" x14ac:dyDescent="0.15">
      <c r="A18" s="4" t="s">
        <v>8</v>
      </c>
      <c r="B18" s="19">
        <v>1</v>
      </c>
    </row>
    <row r="19" spans="1:2" ht="15" x14ac:dyDescent="0.15">
      <c r="A19" s="4" t="s">
        <v>30</v>
      </c>
      <c r="B19" s="19">
        <v>1.05</v>
      </c>
    </row>
    <row r="20" spans="1:2" ht="15" x14ac:dyDescent="0.15">
      <c r="A20" s="4" t="s">
        <v>29</v>
      </c>
      <c r="B20" s="19">
        <v>1</v>
      </c>
    </row>
    <row r="21" spans="1:2" ht="15" x14ac:dyDescent="0.15">
      <c r="A21" s="4" t="s">
        <v>9</v>
      </c>
      <c r="B21" s="19">
        <v>1</v>
      </c>
    </row>
    <row r="22" spans="1:2" x14ac:dyDescent="0.15">
      <c r="A22" s="3" t="s">
        <v>10</v>
      </c>
      <c r="B22" s="18">
        <v>1</v>
      </c>
    </row>
    <row r="23" spans="1:2" ht="15" x14ac:dyDescent="0.15">
      <c r="A23" s="4" t="s">
        <v>32</v>
      </c>
      <c r="B23" s="19">
        <v>1.25</v>
      </c>
    </row>
    <row r="24" spans="1:2" ht="15" x14ac:dyDescent="0.15">
      <c r="A24" s="4" t="s">
        <v>33</v>
      </c>
      <c r="B24" s="19">
        <v>4</v>
      </c>
    </row>
    <row r="25" spans="1:2" ht="15" x14ac:dyDescent="0.15">
      <c r="A25" s="4" t="s">
        <v>31</v>
      </c>
      <c r="B25" s="19">
        <v>1.6</v>
      </c>
    </row>
    <row r="26" spans="1:2" x14ac:dyDescent="0.15">
      <c r="A26" s="3" t="s">
        <v>11</v>
      </c>
      <c r="B26" s="18">
        <v>1.1200000000000001</v>
      </c>
    </row>
    <row r="27" spans="1:2" x14ac:dyDescent="0.15">
      <c r="A27" s="3" t="s">
        <v>12</v>
      </c>
      <c r="B27" s="18">
        <v>1.05</v>
      </c>
    </row>
  </sheetData>
  <autoFilter ref="A3:B3" xr:uid="{BE4F7B38-88C4-4025-A3FB-0519D7832F31}">
    <sortState xmlns:xlrd2="http://schemas.microsoft.com/office/spreadsheetml/2017/richdata2" ref="A4:B27">
      <sortCondition ref="A3"/>
    </sortState>
  </autoFilter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E90DA-9681-4F78-8A35-4F1A79BCED07}">
  <dimension ref="A1:A2"/>
  <sheetViews>
    <sheetView workbookViewId="0">
      <selection sqref="A1:A3"/>
    </sheetView>
  </sheetViews>
  <sheetFormatPr baseColWidth="10" defaultRowHeight="15" x14ac:dyDescent="0.2"/>
  <sheetData>
    <row r="1" spans="1:1" x14ac:dyDescent="0.2">
      <c r="A1" t="s">
        <v>50</v>
      </c>
    </row>
    <row r="2" spans="1:1" x14ac:dyDescent="0.2">
      <c r="A2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Calcul env. achat-construction</vt:lpstr>
      <vt:lpstr>Calcul env. agrandissement</vt:lpstr>
      <vt:lpstr>Calcul env. locatif</vt:lpstr>
      <vt:lpstr>Calculs mobilier</vt:lpstr>
      <vt:lpstr>Annexe II</vt:lpstr>
      <vt:lpstr>Superficie</vt:lpstr>
      <vt:lpstr>Annexe III</vt:lpstr>
      <vt:lpstr>Annexe IV</vt:lpstr>
      <vt:lpstr>Menu déroulant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Isabelle Bacon</dc:creator>
  <cp:lastModifiedBy>Microsoft Office User</cp:lastModifiedBy>
  <cp:lastPrinted>2021-07-09T18:07:12Z</cp:lastPrinted>
  <dcterms:created xsi:type="dcterms:W3CDTF">2021-06-14T15:23:28Z</dcterms:created>
  <dcterms:modified xsi:type="dcterms:W3CDTF">2021-11-11T21:30:47Z</dcterms:modified>
</cp:coreProperties>
</file>